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showInkAnnotation="0" autoCompressPictures="0"/>
  <bookViews>
    <workbookView xWindow="33525" yWindow="-10995" windowWidth="23265" windowHeight="13185" tabRatio="783"/>
  </bookViews>
  <sheets>
    <sheet name="Menu" sheetId="1" r:id="rId1"/>
    <sheet name="MarketModel" sheetId="24" r:id="rId2"/>
    <sheet name="ProgramModel" sheetId="15" r:id="rId3"/>
    <sheet name="energyData" sheetId="16" state="hidden" r:id="rId4"/>
    <sheet name="demographicData" sheetId="22" state="hidden" r:id="rId5"/>
    <sheet name="Lists" sheetId="7" state="hidden" r:id="rId6"/>
  </sheets>
  <definedNames>
    <definedName name="consumptionMap">Lists!$B$17:$C$19</definedName>
    <definedName name="demoDataRows">demographicData!$1:$1</definedName>
    <definedName name="demoDataTable">demographicData!$A:$G</definedName>
    <definedName name="demoMap">Lists!$B$5:$C$8</definedName>
    <definedName name="rawDataTable">energyData!$1:$1048576</definedName>
    <definedName name="rawDataTableRows">energyData!$1:$1</definedName>
    <definedName name="region">Lists!$E$5:$E$94</definedName>
    <definedName name="SelectedAllianceList">Lists!$K$5:$K$12</definedName>
    <definedName name="selectedAlliances">Lists!$N$5</definedName>
    <definedName name="selectedRegions">Lists!$I$5</definedName>
    <definedName name="SelectedRegionsList">Lists!$G$5:$G$83</definedName>
    <definedName name="systemMap">Lists!$B$11:$C$14</definedName>
  </definedNames>
  <calcPr calcId="125725" concurrentCalc="0"/>
  <extLst>
    <ext xmlns:mx="http://schemas.microsoft.com/office/mac/excel/2008/main" uri="{7523E5D3-25F3-A5E0-1632-64F254C22452}">
      <mx:ArchID Flags="2"/>
    </ext>
  </extLst>
</workbook>
</file>

<file path=xl/calcChain.xml><?xml version="1.0" encoding="utf-8"?>
<calcChain xmlns="http://schemas.openxmlformats.org/spreadsheetml/2006/main">
  <c r="C85" i="22"/>
  <c r="D85"/>
  <c r="E85"/>
  <c r="F85"/>
  <c r="G85"/>
  <c r="B85"/>
  <c r="AM23" i="15"/>
  <c r="BC23"/>
  <c r="AU23"/>
  <c r="BG23"/>
  <c r="AQ23"/>
  <c r="BK23"/>
  <c r="J35"/>
  <c r="AY23"/>
  <c r="AI23"/>
  <c r="Y23"/>
  <c r="BD23"/>
  <c r="AV23"/>
  <c r="BH23"/>
  <c r="AR23"/>
  <c r="BL23"/>
  <c r="AZ23"/>
  <c r="AJ23"/>
  <c r="Z23"/>
  <c r="BE23"/>
  <c r="AW23"/>
  <c r="BI23"/>
  <c r="AS23"/>
  <c r="BM23"/>
  <c r="BA23"/>
  <c r="AK23"/>
  <c r="AA23"/>
  <c r="AM24"/>
  <c r="AU24"/>
  <c r="BG24"/>
  <c r="AQ24"/>
  <c r="BK24"/>
  <c r="AY24"/>
  <c r="AI24"/>
  <c r="Y24"/>
  <c r="AV24"/>
  <c r="BH24"/>
  <c r="AR24"/>
  <c r="BL24"/>
  <c r="AZ24"/>
  <c r="AJ24"/>
  <c r="Z24"/>
  <c r="AW24"/>
  <c r="BI24"/>
  <c r="AS24"/>
  <c r="BM24"/>
  <c r="BA24"/>
  <c r="AK24"/>
  <c r="AA24"/>
  <c r="AM25"/>
  <c r="AU25"/>
  <c r="BG25"/>
  <c r="AQ25"/>
  <c r="BK25"/>
  <c r="AY25"/>
  <c r="AI25"/>
  <c r="Y25"/>
  <c r="AV25"/>
  <c r="BH25"/>
  <c r="AR25"/>
  <c r="BL25"/>
  <c r="AZ25"/>
  <c r="AJ25"/>
  <c r="Z25"/>
  <c r="AW25"/>
  <c r="BI25"/>
  <c r="AS25"/>
  <c r="BM25"/>
  <c r="BA25"/>
  <c r="AK25"/>
  <c r="AA25"/>
  <c r="AM26"/>
  <c r="AU26"/>
  <c r="BG26"/>
  <c r="AQ26"/>
  <c r="BK26"/>
  <c r="AY26"/>
  <c r="AI26"/>
  <c r="Y26"/>
  <c r="AV26"/>
  <c r="BH26"/>
  <c r="AR26"/>
  <c r="BL26"/>
  <c r="AZ26"/>
  <c r="AJ26"/>
  <c r="Z26"/>
  <c r="AW26"/>
  <c r="BI26"/>
  <c r="AS26"/>
  <c r="BM26"/>
  <c r="BA26"/>
  <c r="AK26"/>
  <c r="AA26"/>
  <c r="U23"/>
  <c r="AM28"/>
  <c r="AU28"/>
  <c r="BG28"/>
  <c r="AQ28"/>
  <c r="BK28"/>
  <c r="AY28"/>
  <c r="AI28"/>
  <c r="Y28"/>
  <c r="AV28"/>
  <c r="BH28"/>
  <c r="AR28"/>
  <c r="BL28"/>
  <c r="AZ28"/>
  <c r="AJ28"/>
  <c r="Z28"/>
  <c r="AW28"/>
  <c r="BI28"/>
  <c r="AS28"/>
  <c r="BM28"/>
  <c r="BA28"/>
  <c r="AK28"/>
  <c r="AA28"/>
  <c r="AM29"/>
  <c r="AU29"/>
  <c r="BG29"/>
  <c r="AQ29"/>
  <c r="BK29"/>
  <c r="AY29"/>
  <c r="AI29"/>
  <c r="Y29"/>
  <c r="AV29"/>
  <c r="BH29"/>
  <c r="AR29"/>
  <c r="BL29"/>
  <c r="AZ29"/>
  <c r="AJ29"/>
  <c r="Z29"/>
  <c r="AW29"/>
  <c r="BI29"/>
  <c r="AS29"/>
  <c r="BM29"/>
  <c r="BA29"/>
  <c r="AK29"/>
  <c r="AA29"/>
  <c r="AM30"/>
  <c r="AU30"/>
  <c r="BG30"/>
  <c r="AQ30"/>
  <c r="BK30"/>
  <c r="AY30"/>
  <c r="AI30"/>
  <c r="Y30"/>
  <c r="AV30"/>
  <c r="BH30"/>
  <c r="AR30"/>
  <c r="BL30"/>
  <c r="AZ30"/>
  <c r="AJ30"/>
  <c r="Z30"/>
  <c r="AW30"/>
  <c r="BI30"/>
  <c r="AS30"/>
  <c r="BM30"/>
  <c r="BA30"/>
  <c r="AK30"/>
  <c r="AA30"/>
  <c r="AM31"/>
  <c r="AU31"/>
  <c r="BG31"/>
  <c r="AQ31"/>
  <c r="BK31"/>
  <c r="AY31"/>
  <c r="AI31"/>
  <c r="Y31"/>
  <c r="AV31"/>
  <c r="BH31"/>
  <c r="AR31"/>
  <c r="BL31"/>
  <c r="AZ31"/>
  <c r="AJ31"/>
  <c r="Z31"/>
  <c r="AW31"/>
  <c r="BI31"/>
  <c r="AS31"/>
  <c r="BM31"/>
  <c r="BA31"/>
  <c r="AK31"/>
  <c r="AA31"/>
  <c r="U28"/>
  <c r="AM33"/>
  <c r="AU33"/>
  <c r="BG33"/>
  <c r="AQ33"/>
  <c r="BK33"/>
  <c r="AY33"/>
  <c r="AI33"/>
  <c r="Y33"/>
  <c r="AV33"/>
  <c r="BH33"/>
  <c r="AR33"/>
  <c r="BL33"/>
  <c r="AZ33"/>
  <c r="AJ33"/>
  <c r="Z33"/>
  <c r="AW33"/>
  <c r="BI33"/>
  <c r="AS33"/>
  <c r="BM33"/>
  <c r="BA33"/>
  <c r="AK33"/>
  <c r="AA33"/>
  <c r="AM34"/>
  <c r="AU34"/>
  <c r="BG34"/>
  <c r="AQ34"/>
  <c r="BK34"/>
  <c r="AY34"/>
  <c r="AI34"/>
  <c r="Y34"/>
  <c r="AV34"/>
  <c r="BH34"/>
  <c r="AR34"/>
  <c r="BL34"/>
  <c r="AZ34"/>
  <c r="AJ34"/>
  <c r="Z34"/>
  <c r="AW34"/>
  <c r="BI34"/>
  <c r="AS34"/>
  <c r="BM34"/>
  <c r="BA34"/>
  <c r="AK34"/>
  <c r="AA34"/>
  <c r="AM35"/>
  <c r="AU35"/>
  <c r="BG35"/>
  <c r="AQ35"/>
  <c r="BK35"/>
  <c r="AY35"/>
  <c r="AI35"/>
  <c r="Y35"/>
  <c r="AV35"/>
  <c r="BH35"/>
  <c r="AR35"/>
  <c r="BL35"/>
  <c r="AZ35"/>
  <c r="AJ35"/>
  <c r="Z35"/>
  <c r="AW35"/>
  <c r="BI35"/>
  <c r="AS35"/>
  <c r="BM35"/>
  <c r="BA35"/>
  <c r="AK35"/>
  <c r="AA35"/>
  <c r="AM36"/>
  <c r="AU36"/>
  <c r="BG36"/>
  <c r="AQ36"/>
  <c r="BK36"/>
  <c r="AY36"/>
  <c r="AI36"/>
  <c r="Y36"/>
  <c r="AV36"/>
  <c r="BH36"/>
  <c r="AR36"/>
  <c r="BL36"/>
  <c r="AZ36"/>
  <c r="AJ36"/>
  <c r="Z36"/>
  <c r="AW36"/>
  <c r="BI36"/>
  <c r="AS36"/>
  <c r="BM36"/>
  <c r="BA36"/>
  <c r="AK36"/>
  <c r="AA36"/>
  <c r="U33"/>
  <c r="AM38"/>
  <c r="AU38"/>
  <c r="BG38"/>
  <c r="AQ38"/>
  <c r="BK38"/>
  <c r="AY38"/>
  <c r="AI38"/>
  <c r="Y38"/>
  <c r="AV38"/>
  <c r="BH38"/>
  <c r="AR38"/>
  <c r="BL38"/>
  <c r="AZ38"/>
  <c r="AJ38"/>
  <c r="Z38"/>
  <c r="AW38"/>
  <c r="BI38"/>
  <c r="AS38"/>
  <c r="BM38"/>
  <c r="BA38"/>
  <c r="AK38"/>
  <c r="AA38"/>
  <c r="AM39"/>
  <c r="AU39"/>
  <c r="BG39"/>
  <c r="AQ39"/>
  <c r="BK39"/>
  <c r="AY39"/>
  <c r="AI39"/>
  <c r="Y39"/>
  <c r="AV39"/>
  <c r="BH39"/>
  <c r="AR39"/>
  <c r="BL39"/>
  <c r="AZ39"/>
  <c r="AJ39"/>
  <c r="Z39"/>
  <c r="AW39"/>
  <c r="BI39"/>
  <c r="AS39"/>
  <c r="BM39"/>
  <c r="BA39"/>
  <c r="AK39"/>
  <c r="AA39"/>
  <c r="AM40"/>
  <c r="AU40"/>
  <c r="BG40"/>
  <c r="AQ40"/>
  <c r="BK40"/>
  <c r="AY40"/>
  <c r="AI40"/>
  <c r="Y40"/>
  <c r="AV40"/>
  <c r="BH40"/>
  <c r="AR40"/>
  <c r="BL40"/>
  <c r="AZ40"/>
  <c r="AJ40"/>
  <c r="Z40"/>
  <c r="AW40"/>
  <c r="BI40"/>
  <c r="AS40"/>
  <c r="BM40"/>
  <c r="BA40"/>
  <c r="AK40"/>
  <c r="AA40"/>
  <c r="AM41"/>
  <c r="AU41"/>
  <c r="BG41"/>
  <c r="AQ41"/>
  <c r="BK41"/>
  <c r="AY41"/>
  <c r="AI41"/>
  <c r="Y41"/>
  <c r="AV41"/>
  <c r="BH41"/>
  <c r="AR41"/>
  <c r="BL41"/>
  <c r="AZ41"/>
  <c r="AJ41"/>
  <c r="Z41"/>
  <c r="AW41"/>
  <c r="BI41"/>
  <c r="AS41"/>
  <c r="BM41"/>
  <c r="BA41"/>
  <c r="AK41"/>
  <c r="AA41"/>
  <c r="U38"/>
  <c r="O23"/>
  <c r="S10"/>
  <c r="G90" i="22"/>
  <c r="F90"/>
  <c r="E90"/>
  <c r="D90"/>
  <c r="C90"/>
  <c r="G89"/>
  <c r="F89"/>
  <c r="E89"/>
  <c r="D89"/>
  <c r="C89"/>
  <c r="G88"/>
  <c r="F88"/>
  <c r="E88"/>
  <c r="D88"/>
  <c r="C88"/>
  <c r="G87"/>
  <c r="F87"/>
  <c r="E87"/>
  <c r="D87"/>
  <c r="C87"/>
  <c r="G86"/>
  <c r="F86"/>
  <c r="E86"/>
  <c r="D86"/>
  <c r="C86"/>
  <c r="G84"/>
  <c r="F84"/>
  <c r="E84"/>
  <c r="D84"/>
  <c r="C84"/>
  <c r="G83"/>
  <c r="F83"/>
  <c r="E83"/>
  <c r="D83"/>
  <c r="C83"/>
  <c r="B89"/>
  <c r="B87"/>
  <c r="B86"/>
  <c r="B83"/>
  <c r="B90"/>
  <c r="A81"/>
  <c r="Q5" i="24"/>
  <c r="G51" i="7"/>
  <c r="G48"/>
  <c r="G33"/>
  <c r="G19"/>
  <c r="G5"/>
  <c r="G6"/>
  <c r="G7"/>
  <c r="G8"/>
  <c r="G9"/>
  <c r="G10"/>
  <c r="G11"/>
  <c r="G12"/>
  <c r="G13"/>
  <c r="G14"/>
  <c r="G15"/>
  <c r="G16"/>
  <c r="G17"/>
  <c r="G18"/>
  <c r="G20"/>
  <c r="G21"/>
  <c r="G22"/>
  <c r="G23"/>
  <c r="G24"/>
  <c r="G25"/>
  <c r="G26"/>
  <c r="G27"/>
  <c r="G28"/>
  <c r="G29"/>
  <c r="G30"/>
  <c r="G31"/>
  <c r="G32"/>
  <c r="G34"/>
  <c r="G35"/>
  <c r="G36"/>
  <c r="G37"/>
  <c r="G38"/>
  <c r="G39"/>
  <c r="G40"/>
  <c r="G41"/>
  <c r="G42"/>
  <c r="G43"/>
  <c r="G44"/>
  <c r="G45"/>
  <c r="G46"/>
  <c r="G47"/>
  <c r="G49"/>
  <c r="G50"/>
  <c r="G52"/>
  <c r="G53"/>
  <c r="G54"/>
  <c r="G55"/>
  <c r="G56"/>
  <c r="G57"/>
  <c r="G58"/>
  <c r="G59"/>
  <c r="G60"/>
  <c r="G61"/>
  <c r="G62"/>
  <c r="G63"/>
  <c r="G64"/>
  <c r="G65"/>
  <c r="G67"/>
  <c r="G68"/>
  <c r="G69"/>
  <c r="G70"/>
  <c r="G71"/>
  <c r="G72"/>
  <c r="G73"/>
  <c r="G74"/>
  <c r="G75"/>
  <c r="G76"/>
  <c r="G77"/>
  <c r="G78"/>
  <c r="G79"/>
  <c r="G80"/>
  <c r="G81"/>
  <c r="G82"/>
  <c r="G83"/>
  <c r="I5"/>
  <c r="K8"/>
  <c r="K11"/>
  <c r="K5"/>
  <c r="K6"/>
  <c r="K7"/>
  <c r="K9"/>
  <c r="K10"/>
  <c r="K12"/>
  <c r="N5"/>
  <c r="Q7" i="24"/>
  <c r="W24"/>
  <c r="W23"/>
  <c r="B23"/>
  <c r="B84" i="22"/>
  <c r="B88"/>
  <c r="B91" a="1"/>
  <c r="B91"/>
  <c r="A91"/>
  <c r="A82"/>
  <c r="E14" i="7"/>
  <c r="E13"/>
  <c r="E8"/>
  <c r="E9"/>
  <c r="E10"/>
  <c r="E11"/>
  <c r="E12"/>
  <c r="E7"/>
  <c r="AE28" i="24" a="1"/>
  <c r="AE28"/>
  <c r="AE29"/>
  <c r="AE30"/>
  <c r="AE31"/>
  <c r="AE32"/>
  <c r="AE33"/>
  <c r="AE34"/>
  <c r="AE35"/>
  <c r="AE36"/>
  <c r="AE37"/>
  <c r="AE38"/>
  <c r="AE39"/>
  <c r="AE40"/>
  <c r="AA28" a="1"/>
  <c r="AA28"/>
  <c r="AA29"/>
  <c r="AA30"/>
  <c r="AA31"/>
  <c r="AA32"/>
  <c r="AA33"/>
  <c r="AA34"/>
  <c r="AA35"/>
  <c r="AA36"/>
  <c r="AA37"/>
  <c r="AA38"/>
  <c r="AA39"/>
  <c r="AA40"/>
  <c r="U28" a="1"/>
  <c r="U28"/>
  <c r="U29"/>
  <c r="U30"/>
  <c r="U31"/>
  <c r="U32"/>
  <c r="U33"/>
  <c r="U34"/>
  <c r="U35"/>
  <c r="U36"/>
  <c r="U37"/>
  <c r="U38"/>
  <c r="U39"/>
  <c r="U40"/>
  <c r="P28" a="1"/>
  <c r="P28"/>
  <c r="P29"/>
  <c r="P30"/>
  <c r="P31"/>
  <c r="P32"/>
  <c r="P33"/>
  <c r="P34"/>
  <c r="P35"/>
  <c r="P36"/>
  <c r="P37"/>
  <c r="P38"/>
  <c r="P39"/>
  <c r="P40"/>
  <c r="J28" a="1"/>
  <c r="J28"/>
  <c r="J29"/>
  <c r="J30"/>
  <c r="J31"/>
  <c r="J32"/>
  <c r="J33"/>
  <c r="J34"/>
  <c r="J35"/>
  <c r="J36"/>
  <c r="J37"/>
  <c r="J38"/>
  <c r="J39"/>
  <c r="J40"/>
  <c r="C28" a="1"/>
  <c r="C28"/>
  <c r="C29"/>
  <c r="C30"/>
  <c r="C31"/>
  <c r="C32"/>
  <c r="C33"/>
  <c r="C34"/>
  <c r="C35"/>
  <c r="C36"/>
  <c r="C37"/>
  <c r="C38"/>
  <c r="C39"/>
  <c r="C40"/>
  <c r="C41"/>
  <c r="G66" i="7"/>
  <c r="G82" i="22" a="1"/>
  <c r="G82"/>
  <c r="G81"/>
  <c r="G91" a="1"/>
  <c r="G91"/>
  <c r="AB16" i="24"/>
  <c r="C82" i="22" a="1"/>
  <c r="C82"/>
  <c r="C81"/>
  <c r="C91" a="1"/>
  <c r="C91"/>
  <c r="AA14" i="24"/>
  <c r="AD16"/>
  <c r="E82" i="22" a="1"/>
  <c r="E82"/>
  <c r="E81"/>
  <c r="E91" a="1"/>
  <c r="E91"/>
  <c r="AB12" i="24"/>
  <c r="B82" i="22" a="1"/>
  <c r="B82"/>
  <c r="B81"/>
  <c r="AA8" i="24"/>
  <c r="AD12"/>
  <c r="D82" i="22" a="1"/>
  <c r="D82"/>
  <c r="D81"/>
  <c r="D91" a="1"/>
  <c r="D91"/>
  <c r="AB11" i="24"/>
  <c r="AD11"/>
  <c r="F82" i="22" a="1"/>
  <c r="F82"/>
  <c r="F81"/>
  <c r="F91" a="1"/>
  <c r="F91"/>
  <c r="AB10" i="24"/>
  <c r="AD10"/>
  <c r="O25" i="15"/>
  <c r="B1" i="24"/>
  <c r="B1" i="15"/>
  <c r="M55"/>
  <c r="W16"/>
  <c r="N55"/>
  <c r="I55"/>
  <c r="AC20"/>
  <c r="A2" i="16"/>
  <c r="A3"/>
  <c r="A4"/>
  <c r="A5"/>
  <c r="AC41" i="15"/>
  <c r="A6" i="16"/>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BP41" i="15"/>
  <c r="AE41"/>
  <c r="AC40"/>
  <c r="BP40"/>
  <c r="AE40"/>
  <c r="AC39"/>
  <c r="BP39"/>
  <c r="AE39"/>
  <c r="AC38"/>
  <c r="BP38"/>
  <c r="AE38"/>
  <c r="AC36"/>
  <c r="BP36"/>
  <c r="AE36"/>
  <c r="AC35"/>
  <c r="BP35"/>
  <c r="AE35"/>
  <c r="AC34"/>
  <c r="BP34"/>
  <c r="AE34"/>
  <c r="AC33"/>
  <c r="BP33"/>
  <c r="AE33"/>
  <c r="AC31"/>
  <c r="BP31"/>
  <c r="AE31"/>
  <c r="AC30"/>
  <c r="BP30"/>
  <c r="AE30"/>
  <c r="AC29"/>
  <c r="BP29"/>
  <c r="AE29"/>
  <c r="AC28"/>
  <c r="BP28"/>
  <c r="AE28"/>
  <c r="AC24"/>
  <c r="BP24"/>
  <c r="AE24"/>
  <c r="AC25"/>
  <c r="BP25"/>
  <c r="AE25"/>
  <c r="AC26"/>
  <c r="BP26"/>
  <c r="AE26"/>
  <c r="AC23"/>
  <c r="BP23"/>
  <c r="AE23"/>
  <c r="BO17"/>
  <c r="BK17"/>
  <c r="BG17"/>
  <c r="BC17"/>
  <c r="AY17"/>
  <c r="AU17"/>
  <c r="AQ17"/>
  <c r="AM17"/>
  <c r="AI17"/>
  <c r="U16"/>
  <c r="O28"/>
  <c r="BO39"/>
  <c r="BQ39"/>
  <c r="BO40"/>
  <c r="BQ40"/>
  <c r="BO41"/>
  <c r="BQ41"/>
  <c r="BQ38"/>
  <c r="BO38"/>
  <c r="BO34"/>
  <c r="BQ34"/>
  <c r="BO35"/>
  <c r="BQ35"/>
  <c r="BO36"/>
  <c r="BQ36"/>
  <c r="BQ33"/>
  <c r="BO33"/>
  <c r="BO29"/>
  <c r="BQ29"/>
  <c r="BO30"/>
  <c r="BQ30"/>
  <c r="BO31"/>
  <c r="BQ31"/>
  <c r="BQ28"/>
  <c r="BO28"/>
  <c r="BO24"/>
  <c r="BQ24"/>
  <c r="BO25"/>
  <c r="BQ25"/>
  <c r="BO26"/>
  <c r="BQ26"/>
  <c r="BQ23"/>
  <c r="BO23"/>
  <c r="BC39"/>
  <c r="BD39"/>
  <c r="BE39"/>
  <c r="BC40"/>
  <c r="BD40"/>
  <c r="BE40"/>
  <c r="BC41"/>
  <c r="BD41"/>
  <c r="BE41"/>
  <c r="BD38"/>
  <c r="BE38"/>
  <c r="BC38"/>
  <c r="BC34"/>
  <c r="BD34"/>
  <c r="BE34"/>
  <c r="BC35"/>
  <c r="BD35"/>
  <c r="BE35"/>
  <c r="BC36"/>
  <c r="BD36"/>
  <c r="BE36"/>
  <c r="BD33"/>
  <c r="BE33"/>
  <c r="BC33"/>
  <c r="BD28"/>
  <c r="BE28"/>
  <c r="BD29"/>
  <c r="BE29"/>
  <c r="BD30"/>
  <c r="BE30"/>
  <c r="BD31"/>
  <c r="BE31"/>
  <c r="BC29"/>
  <c r="BC30"/>
  <c r="BC31"/>
  <c r="BC28"/>
  <c r="BC24"/>
  <c r="BD24"/>
  <c r="BE24"/>
  <c r="BC25"/>
  <c r="BD25"/>
  <c r="BE25"/>
  <c r="BC26"/>
  <c r="BD26"/>
  <c r="BE26"/>
  <c r="J38"/>
  <c r="J39"/>
  <c r="J40"/>
  <c r="J41"/>
  <c r="I26"/>
  <c r="O30"/>
  <c r="O33"/>
  <c r="O38"/>
  <c r="AM21"/>
</calcChain>
</file>

<file path=xl/sharedStrings.xml><?xml version="1.0" encoding="utf-8"?>
<sst xmlns="http://schemas.openxmlformats.org/spreadsheetml/2006/main" count="506" uniqueCount="243">
  <si>
    <t xml:space="preserve">LISTS AND MAPPING </t>
  </si>
  <si>
    <t/>
  </si>
  <si>
    <t>Quarterly</t>
  </si>
  <si>
    <t>Retirees</t>
  </si>
  <si>
    <t>isgen</t>
  </si>
  <si>
    <t>demand</t>
  </si>
  <si>
    <t>gen</t>
  </si>
  <si>
    <t>export</t>
  </si>
  <si>
    <t>import</t>
  </si>
  <si>
    <t>current cost</t>
  </si>
  <si>
    <t>new export income</t>
  </si>
  <si>
    <t>new import cost</t>
  </si>
  <si>
    <t>new cost</t>
  </si>
  <si>
    <t>reduction</t>
  </si>
  <si>
    <t>monthly max current cost</t>
  </si>
  <si>
    <t>monthly avg current cost</t>
  </si>
  <si>
    <t>monthly max new cost</t>
  </si>
  <si>
    <t>monthly avg new cost</t>
  </si>
  <si>
    <t>monthly min reduction</t>
  </si>
  <si>
    <t>monthly avg reduction</t>
  </si>
  <si>
    <t>annual export fraction</t>
  </si>
  <si>
    <t>annual reduction</t>
  </si>
  <si>
    <t>payback</t>
  </si>
  <si>
    <t>demographic</t>
  </si>
  <si>
    <t>systemsize</t>
  </si>
  <si>
    <t>consumption</t>
  </si>
  <si>
    <t>net saving at 0 over 10</t>
  </si>
  <si>
    <t>net saving at 2.5 over 10</t>
  </si>
  <si>
    <t>net saving at 5 over 10</t>
  </si>
  <si>
    <t>net saving at 8 over 10</t>
  </si>
  <si>
    <t>net saving at 15 over 10</t>
  </si>
  <si>
    <t>net saving at 6 over 3</t>
  </si>
  <si>
    <t>SingleCouple</t>
  </si>
  <si>
    <t>2.0 kW</t>
  </si>
  <si>
    <t>5 kWh</t>
  </si>
  <si>
    <t>3.0 kW</t>
  </si>
  <si>
    <t>4.0 kW</t>
  </si>
  <si>
    <t>5.0 kW</t>
  </si>
  <si>
    <t>FamilyType1</t>
  </si>
  <si>
    <t>FamilyType2</t>
  </si>
  <si>
    <t>10 kWh</t>
  </si>
  <si>
    <t>15 kWh</t>
  </si>
  <si>
    <t>Couple with children, both parents working</t>
  </si>
  <si>
    <t>1-2 people living in the home, generally at home during</t>
  </si>
  <si>
    <t>1-2 people living in the home, all occupants working 9-5 Monday to Friday</t>
  </si>
  <si>
    <t>Family type 1 (Couple with children)</t>
  </si>
  <si>
    <t>Family type 2 (1-2 working occupants)</t>
  </si>
  <si>
    <t>Retirees (1-2 occupants)</t>
  </si>
  <si>
    <t>Single occupant / Couple w/o children</t>
  </si>
  <si>
    <t>Key</t>
  </si>
  <si>
    <t>consumptionMap</t>
  </si>
  <si>
    <t>systemMap</t>
  </si>
  <si>
    <t>demoMap</t>
  </si>
  <si>
    <t>LGA</t>
  </si>
  <si>
    <t>All Households</t>
  </si>
  <si>
    <t>All People</t>
  </si>
  <si>
    <t>Households Low Income All</t>
  </si>
  <si>
    <t>Households Low Income Home-Owner</t>
  </si>
  <si>
    <t>Households Receiving Rebate</t>
  </si>
  <si>
    <t>People Age Pension</t>
  </si>
  <si>
    <t>Alpine</t>
  </si>
  <si>
    <t>Ararat</t>
  </si>
  <si>
    <t>Ballarat</t>
  </si>
  <si>
    <t>Banyule</t>
  </si>
  <si>
    <t>Bass Coast</t>
  </si>
  <si>
    <t>Baw Baw</t>
  </si>
  <si>
    <t>Bayside</t>
  </si>
  <si>
    <t>Benalla</t>
  </si>
  <si>
    <t>Boroondara</t>
  </si>
  <si>
    <t>Brimbank</t>
  </si>
  <si>
    <t>Buloke</t>
  </si>
  <si>
    <t>Campaspe</t>
  </si>
  <si>
    <t>Cardinia</t>
  </si>
  <si>
    <t>Casey</t>
  </si>
  <si>
    <t>Central Goldfields</t>
  </si>
  <si>
    <t>Colac-Otway</t>
  </si>
  <si>
    <t>Corangamite</t>
  </si>
  <si>
    <t>Darebin</t>
  </si>
  <si>
    <t>East Gippsland</t>
  </si>
  <si>
    <t>Frankston</t>
  </si>
  <si>
    <t>Gannawarra</t>
  </si>
  <si>
    <t>Glen Eira</t>
  </si>
  <si>
    <t>Glenelg</t>
  </si>
  <si>
    <t>Golden Plains</t>
  </si>
  <si>
    <t>Greater Bendigo</t>
  </si>
  <si>
    <t>Greater Dandenong</t>
  </si>
  <si>
    <t>Greater Geelong</t>
  </si>
  <si>
    <t>Greater Shepparton</t>
  </si>
  <si>
    <t>Hepburn</t>
  </si>
  <si>
    <t>Hindmarsh</t>
  </si>
  <si>
    <t>Hobsons Bay</t>
  </si>
  <si>
    <t>Horsham</t>
  </si>
  <si>
    <t>Hume</t>
  </si>
  <si>
    <t>Indigo</t>
  </si>
  <si>
    <t>Kingston</t>
  </si>
  <si>
    <t>Knox</t>
  </si>
  <si>
    <t>Latrobe</t>
  </si>
  <si>
    <t>Loddon</t>
  </si>
  <si>
    <t>Macedon Ranges</t>
  </si>
  <si>
    <t>Manningham</t>
  </si>
  <si>
    <t>Mansfield</t>
  </si>
  <si>
    <t>Maribyrnong</t>
  </si>
  <si>
    <t>Maroondah</t>
  </si>
  <si>
    <t>Melbourne</t>
  </si>
  <si>
    <t>Melton</t>
  </si>
  <si>
    <t>Mildura</t>
  </si>
  <si>
    <t>Mitchell</t>
  </si>
  <si>
    <t>Moira</t>
  </si>
  <si>
    <t>Monash</t>
  </si>
  <si>
    <t>Moonee Valley</t>
  </si>
  <si>
    <t>Moorabool</t>
  </si>
  <si>
    <t>Moreland</t>
  </si>
  <si>
    <t>Mornington Peninsula</t>
  </si>
  <si>
    <t>Mount Alexander</t>
  </si>
  <si>
    <t>Moyne</t>
  </si>
  <si>
    <t>Murrindindi</t>
  </si>
  <si>
    <t>Nillumbik</t>
  </si>
  <si>
    <t>Northern Grampians</t>
  </si>
  <si>
    <t>Port Phillip</t>
  </si>
  <si>
    <t>Pyrenees</t>
  </si>
  <si>
    <t>Queenscliffe</t>
  </si>
  <si>
    <t>South Gippsland</t>
  </si>
  <si>
    <t>Southern Grampians</t>
  </si>
  <si>
    <t>Stonnington</t>
  </si>
  <si>
    <t>Strathbogie</t>
  </si>
  <si>
    <t>Surf Coast</t>
  </si>
  <si>
    <t>Swan Hill</t>
  </si>
  <si>
    <t>Towong</t>
  </si>
  <si>
    <t>Wangaratta</t>
  </si>
  <si>
    <t>Warrnambool</t>
  </si>
  <si>
    <t>Wellington</t>
  </si>
  <si>
    <t>West Wimmera</t>
  </si>
  <si>
    <t>Whitehorse</t>
  </si>
  <si>
    <t>Whittlesea</t>
  </si>
  <si>
    <t>Wodonga</t>
  </si>
  <si>
    <t>Wyndham</t>
  </si>
  <si>
    <t>Yarra</t>
  </si>
  <si>
    <t>Yarra Ranges</t>
  </si>
  <si>
    <t>Yarriambiack</t>
  </si>
  <si>
    <t>Region</t>
  </si>
  <si>
    <t>-</t>
  </si>
  <si>
    <t>tonnes of CO2-e</t>
  </si>
  <si>
    <t>MWh of clean energy</t>
  </si>
  <si>
    <t>net annual benefit</t>
  </si>
  <si>
    <t>average benefit for all household types and generation-demand patterns</t>
  </si>
  <si>
    <t>by average daily demand</t>
  </si>
  <si>
    <t>breakdown of financial costs and benefits</t>
  </si>
  <si>
    <t>by generation
(PV size)</t>
  </si>
  <si>
    <t>benefits</t>
  </si>
  <si>
    <t>costs</t>
  </si>
  <si>
    <t>of financing PV units</t>
  </si>
  <si>
    <t>financial benefit for each  household type by generation-demand pattern</t>
  </si>
  <si>
    <t>`</t>
  </si>
  <si>
    <t>design a program</t>
  </si>
  <si>
    <t>program description</t>
  </si>
  <si>
    <t>the number of participating households</t>
  </si>
  <si>
    <t>&gt; borrowing period</t>
  </si>
  <si>
    <t>&gt; repayment interval</t>
  </si>
  <si>
    <t>&gt; required leverage*</t>
  </si>
  <si>
    <t>* required leverage is calculated as the debt required to finance a program of (equally) mixed system sizes.</t>
  </si>
  <si>
    <t>&gt; borrowing rate (% p.a.)</t>
  </si>
  <si>
    <t xml:space="preserve">&gt; average tariff </t>
  </si>
  <si>
    <t>&gt; fed to grid</t>
  </si>
  <si>
    <t>unit cost</t>
  </si>
  <si>
    <t>&gt; imported from grid**</t>
  </si>
  <si>
    <t xml:space="preserve">** value of energy imported is based on MEFL analysis and matching of the solar generation and typical demand pattern of household types. </t>
  </si>
  <si>
    <t>shown for all participating households</t>
  </si>
  <si>
    <t>net monthly benefit</t>
  </si>
  <si>
    <t>shown per household</t>
  </si>
  <si>
    <t>required leverage and financing structure</t>
  </si>
  <si>
    <t>value of energy generation</t>
  </si>
  <si>
    <t>solar pv systems costs and required capital</t>
  </si>
  <si>
    <t>tCO2-e</t>
  </si>
  <si>
    <t>avoided energy costs</t>
  </si>
  <si>
    <t>value of energy exported</t>
  </si>
  <si>
    <t>energy generated and exported to the grid</t>
  </si>
  <si>
    <t>energy imported and consumed on-site</t>
  </si>
  <si>
    <t>energy generated and consumed on-site</t>
  </si>
  <si>
    <t>cost of energy imported</t>
  </si>
  <si>
    <t xml:space="preserve">energy demand </t>
  </si>
  <si>
    <t>modelled PV system sizes</t>
  </si>
  <si>
    <t>required capital ($)</t>
  </si>
  <si>
    <t>clean energy generation and greenhouse gas abatement</t>
  </si>
  <si>
    <t>ghg gas savings</t>
  </si>
  <si>
    <t>Max</t>
  </si>
  <si>
    <t>Min</t>
  </si>
  <si>
    <t>Conditional formatting</t>
  </si>
  <si>
    <t>model list options</t>
  </si>
  <si>
    <t>per household net annual</t>
  </si>
  <si>
    <t>breakdown of financial benefits (net of costs) associated with energy generation and demand with solar PV unit</t>
  </si>
  <si>
    <t>calculation of benefits and costs</t>
  </si>
  <si>
    <t>1 MWh =</t>
  </si>
  <si>
    <t xml:space="preserve">*** assumed Victorian grid emissions factor (scope 2 and 3) </t>
  </si>
  <si>
    <t>t CO2-e***</t>
  </si>
  <si>
    <t>menu</t>
  </si>
  <si>
    <t>market size</t>
  </si>
  <si>
    <t>model</t>
  </si>
  <si>
    <t># low income owner households</t>
  </si>
  <si>
    <t># low income households</t>
  </si>
  <si>
    <t># people receiving aged pension</t>
  </si>
  <si>
    <t>people</t>
  </si>
  <si>
    <t>households</t>
  </si>
  <si>
    <t># households receiving a rebate</t>
  </si>
  <si>
    <t>Enter a short description of the program design being modelled</t>
  </si>
  <si>
    <t>solar rates program  business case model v1</t>
  </si>
  <si>
    <t>breakdown of energy generation and demand with solar PV unit</t>
  </si>
  <si>
    <t xml:space="preserve">solar rates program </t>
  </si>
  <si>
    <t>solar</t>
  </si>
  <si>
    <t>rates program business case model</t>
  </si>
  <si>
    <t xml:space="preserve">
this model is presented in two parts described to the right // click on either to get started and move around using the navigation menu at the top of this page 
this model is designed to provide indicative results and should not be used as the sole basis for the design or business case of a solar rates program.</t>
  </si>
  <si>
    <r>
      <rPr>
        <b/>
        <sz val="26"/>
        <color rgb="FF89A31C"/>
        <rFont val="Helvetica"/>
      </rPr>
      <t>&gt; market sizing</t>
    </r>
    <r>
      <rPr>
        <b/>
        <sz val="26"/>
        <color rgb="FFFF0000"/>
        <rFont val="Helvetica"/>
      </rPr>
      <t xml:space="preserve"> </t>
    </r>
    <r>
      <rPr>
        <sz val="26"/>
        <rFont val="Helvetica"/>
      </rPr>
      <t>model to scope the potential size of a program by local government area</t>
    </r>
  </si>
  <si>
    <r>
      <rPr>
        <b/>
        <sz val="26"/>
        <color rgb="FF89A31C"/>
        <rFont val="Helvetica"/>
      </rPr>
      <t>\\ program design</t>
    </r>
    <r>
      <rPr>
        <sz val="26"/>
        <rFont val="Helvetica"/>
      </rPr>
      <t xml:space="preserve"> model to test program options and estimate the net financial and environmental impacts on participating households </t>
    </r>
  </si>
  <si>
    <t>Selected regions label</t>
  </si>
  <si>
    <t>SelectedRegionsList</t>
  </si>
  <si>
    <t>NAGA</t>
  </si>
  <si>
    <t>EAGA</t>
  </si>
  <si>
    <t>WAGA</t>
  </si>
  <si>
    <t>SECCA</t>
  </si>
  <si>
    <t>GCCN</t>
  </si>
  <si>
    <t>GBGA</t>
  </si>
  <si>
    <t>South East Councils Climate Change Alliance</t>
  </si>
  <si>
    <t>Central Victoria Greenhouse Alliance</t>
  </si>
  <si>
    <t>North East Greenhouse Alliance</t>
  </si>
  <si>
    <t>Western Alliance for Greenhouse Action</t>
  </si>
  <si>
    <t>Eastern Alliance for Greenhouse Action</t>
  </si>
  <si>
    <t>Gippsland Climate Change Network</t>
  </si>
  <si>
    <t>Goulburn Broken Greenhouse Alliance</t>
  </si>
  <si>
    <t>Northern Alliance for Greenhouse Action</t>
  </si>
  <si>
    <t>CVGA</t>
  </si>
  <si>
    <t>SelectedAllianceList</t>
  </si>
  <si>
    <t>NEGHA</t>
  </si>
  <si>
    <t>\\ Selected Alliances</t>
  </si>
  <si>
    <t>\\ Selected LGAs</t>
  </si>
  <si>
    <t>&gt; Victoria</t>
  </si>
  <si>
    <r>
      <rPr>
        <b/>
        <sz val="12"/>
        <rFont val="Helvetica"/>
      </rPr>
      <t>solar rates program model:</t>
    </r>
    <r>
      <rPr>
        <sz val="12"/>
        <rFont val="Helvetica"/>
      </rPr>
      <t xml:space="preserve"> enter and adjust</t>
    </r>
    <r>
      <rPr>
        <sz val="12"/>
        <color rgb="FF779616"/>
        <rFont val="Helvetica"/>
      </rPr>
      <t xml:space="preserve"> inputs</t>
    </r>
    <r>
      <rPr>
        <sz val="12"/>
        <rFont val="Helvetica"/>
      </rPr>
      <t xml:space="preserve"> in the design an program section and view  model outputs and calculations // all outputs can be viewed by year or month, and per household or by total program by selecting the main  headers of the output section // to view more detailed breakdown and calculations of energy costs click 'plus' button above</t>
    </r>
  </si>
  <si>
    <r>
      <rPr>
        <b/>
        <sz val="36"/>
        <color theme="0" tint="-0.34998626667073579"/>
        <rFont val="Helvetica"/>
      </rPr>
      <t xml:space="preserve">market size explorer // </t>
    </r>
  </si>
  <si>
    <r>
      <rPr>
        <b/>
        <sz val="18"/>
        <color rgb="FF89A31C"/>
        <rFont val="Helvetica"/>
      </rPr>
      <t xml:space="preserve">select a region </t>
    </r>
    <r>
      <rPr>
        <b/>
        <sz val="18"/>
        <color theme="0" tint="-0.34998626667073579"/>
        <rFont val="Helvetica"/>
      </rPr>
      <t>to view demographic sizes of potential target audiences for a solar program 
to</t>
    </r>
    <r>
      <rPr>
        <b/>
        <sz val="18"/>
        <color rgb="FFCE7F13"/>
        <rFont val="Helvetica"/>
      </rPr>
      <t xml:space="preserve"> create a multi-LGA region</t>
    </r>
    <r>
      <rPr>
        <b/>
        <sz val="18"/>
        <color theme="0" tint="-0.34998626667073579"/>
        <rFont val="Helvetica"/>
      </rPr>
      <t xml:space="preserve"> choose "selected LGAs" as the region to model and choose each LGA from the selector boxes</t>
    </r>
  </si>
  <si>
    <t>type of household^</t>
  </si>
  <si>
    <t>^ further descriptions of household types modelled by MEFL are provided below</t>
  </si>
  <si>
    <t xml:space="preserve">clean energy </t>
  </si>
  <si>
    <r>
      <rPr>
        <b/>
        <sz val="8"/>
        <color theme="0" tint="-0.34998626667073579"/>
        <rFont val="Helvetica"/>
      </rPr>
      <t>AUSTRALIAN BUREAU OF STATISTICS 2011 Census of Population and Housing</t>
    </r>
    <r>
      <rPr>
        <sz val="8"/>
        <color theme="0" tint="-0.34998626667073579"/>
        <rFont val="Helvetica"/>
      </rPr>
      <t xml:space="preserve">
Data generated using ABS TableBuilder (accessed December 2015)
Household count based on "Family Household Composition (HCFMD)" - includes all occupied private dwellings
Low-income household count based on "Total Household Income (HIND)" - threshold set at $600 per week
Household tenure based on "Tenure and Landlord Type (TENLLD)"</t>
    </r>
  </si>
  <si>
    <t>reference data //</t>
  </si>
  <si>
    <r>
      <rPr>
        <b/>
        <sz val="8"/>
        <color theme="0" tint="-0.34998626667073579"/>
        <rFont val="Helvetica"/>
      </rPr>
      <t>Department of Veterans Affairs</t>
    </r>
    <r>
      <rPr>
        <sz val="8"/>
        <color theme="0" tint="-0.34998626667073579"/>
        <rFont val="Helvetica"/>
      </rPr>
      <t xml:space="preserve">
Number of people on aged pension based on "DVA Pensioners and Treatment Card Holders by Local Government Area as at 3 July 2015" (accessed December 2015)
</t>
    </r>
    <r>
      <rPr>
        <b/>
        <sz val="8"/>
        <color theme="0" tint="-0.34998626667073579"/>
        <rFont val="Helvetica"/>
      </rPr>
      <t>Local Government</t>
    </r>
    <r>
      <rPr>
        <sz val="8"/>
        <color theme="0" tint="-0.34998626667073579"/>
        <rFont val="Helvetica"/>
      </rPr>
      <t xml:space="preserve">
Households receiving rates rebates by Council provided by EAGA (October 2015)
</t>
    </r>
    <r>
      <rPr>
        <b/>
        <sz val="8"/>
        <color theme="0" tint="-0.34998626667073579"/>
        <rFont val="Helvetica"/>
      </rPr>
      <t>Alliances</t>
    </r>
    <r>
      <rPr>
        <sz val="8"/>
        <color theme="0" tint="-0.34998626667073579"/>
        <rFont val="Helvetica"/>
      </rPr>
      <t xml:space="preserve">
Al alliance estimates are based on summation of member LGAs. No double counting adjustment has been made to account for alliances that are a member of more than one alliance.</t>
    </r>
  </si>
</sst>
</file>

<file path=xl/styles.xml><?xml version="1.0" encoding="utf-8"?>
<styleSheet xmlns="http://schemas.openxmlformats.org/spreadsheetml/2006/main">
  <numFmts count="13">
    <numFmt numFmtId="43" formatCode="_-* #,##0.00_-;\-* #,##0.00_-;_-* &quot;-&quot;??_-;_-@_-"/>
    <numFmt numFmtId="164" formatCode="0&quot; years&quot;"/>
    <numFmt numFmtId="165" formatCode="0.0\ &quot;kW systems&quot;"/>
    <numFmt numFmtId="166" formatCode="_-* #,##0_-;\-* #,##0_-;_-* &quot;-&quot;??_-;_-@_-"/>
    <numFmt numFmtId="167" formatCode="&quot;$&quot;#,##0;[Red]&quot;$&quot;#,##0"/>
    <numFmt numFmtId="168" formatCode="0&quot; kWh&quot;"/>
    <numFmt numFmtId="169" formatCode="0.000"/>
    <numFmt numFmtId="170" formatCode="0.0&quot; kW&quot;"/>
    <numFmt numFmtId="171" formatCode="&quot;$&quot;#,##0"/>
    <numFmt numFmtId="172" formatCode="#,##0.0"/>
    <numFmt numFmtId="173" formatCode="&quot;$&quot;#,##0&quot; per MWh&quot;;[Red]\-&quot;$&quot;#,##0&quot; per MWh&quot;"/>
    <numFmt numFmtId="174" formatCode="&quot;$&quot;#,##0.0"/>
    <numFmt numFmtId="175" formatCode="0&quot; kW&quot;"/>
  </numFmts>
  <fonts count="117">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Helvetica"/>
    </font>
    <font>
      <sz val="10"/>
      <color theme="1"/>
      <name val="Helvetica"/>
    </font>
    <font>
      <u/>
      <sz val="12"/>
      <color theme="10"/>
      <name val="Calibri"/>
      <family val="2"/>
      <scheme val="minor"/>
    </font>
    <font>
      <u/>
      <sz val="12"/>
      <color theme="11"/>
      <name val="Calibri"/>
      <family val="2"/>
      <scheme val="minor"/>
    </font>
    <font>
      <sz val="10"/>
      <color theme="0"/>
      <name val="Helvetica"/>
    </font>
    <font>
      <b/>
      <sz val="10"/>
      <color theme="1"/>
      <name val="Helvetica"/>
    </font>
    <font>
      <b/>
      <sz val="12"/>
      <color theme="1"/>
      <name val="Helvetica"/>
    </font>
    <font>
      <b/>
      <sz val="10"/>
      <color theme="0"/>
      <name val="Helvetica"/>
    </font>
    <font>
      <sz val="8"/>
      <color theme="1"/>
      <name val="Helvetica"/>
    </font>
    <font>
      <b/>
      <sz val="16"/>
      <color theme="1"/>
      <name val="Helvetica"/>
    </font>
    <font>
      <sz val="10"/>
      <name val="Helvetica"/>
    </font>
    <font>
      <sz val="8"/>
      <name val="Helvetica"/>
    </font>
    <font>
      <b/>
      <sz val="8"/>
      <color theme="1"/>
      <name val="Helvetica"/>
    </font>
    <font>
      <sz val="10"/>
      <color theme="0" tint="-0.249977111117893"/>
      <name val="Helvetica"/>
    </font>
    <font>
      <sz val="10"/>
      <color rgb="FF473929"/>
      <name val="Helvetica"/>
    </font>
    <font>
      <b/>
      <sz val="10"/>
      <color rgb="FF473929"/>
      <name val="Helvetica"/>
    </font>
    <font>
      <sz val="8"/>
      <color rgb="FF473929"/>
      <name val="Helvetica"/>
    </font>
    <font>
      <sz val="10"/>
      <color theme="0" tint="-0.14999847407452621"/>
      <name val="Helvetica"/>
    </font>
    <font>
      <sz val="12"/>
      <color rgb="FFFF0000"/>
      <name val="Calibri"/>
      <family val="2"/>
      <scheme val="minor"/>
    </font>
    <font>
      <sz val="12"/>
      <name val="Calibri"/>
      <family val="2"/>
      <scheme val="minor"/>
    </font>
    <font>
      <b/>
      <sz val="12"/>
      <name val="Helvetica"/>
    </font>
    <font>
      <b/>
      <sz val="16"/>
      <name val="Helvetica"/>
    </font>
    <font>
      <b/>
      <sz val="14"/>
      <color theme="1"/>
      <name val="Helvetica"/>
    </font>
    <font>
      <b/>
      <sz val="18"/>
      <color theme="1"/>
      <name val="Helvetica"/>
    </font>
    <font>
      <b/>
      <sz val="20"/>
      <color theme="1" tint="0.249977111117893"/>
      <name val="Helvetica"/>
    </font>
    <font>
      <b/>
      <sz val="72"/>
      <color theme="1"/>
      <name val="Helvetica"/>
    </font>
    <font>
      <sz val="11"/>
      <color rgb="FF473929"/>
      <name val="Helvetica"/>
    </font>
    <font>
      <sz val="12"/>
      <name val="Helvetica"/>
    </font>
    <font>
      <b/>
      <sz val="22"/>
      <color theme="1"/>
      <name val="Helvetica"/>
    </font>
    <font>
      <b/>
      <sz val="14"/>
      <name val="Helvetica"/>
    </font>
    <font>
      <sz val="12"/>
      <color theme="0"/>
      <name val="Helvetica"/>
    </font>
    <font>
      <sz val="48"/>
      <color theme="0"/>
      <name val="Helvetica"/>
    </font>
    <font>
      <sz val="72"/>
      <color theme="1"/>
      <name val="Helvetica"/>
    </font>
    <font>
      <sz val="12"/>
      <color rgb="FFFF0000"/>
      <name val="Helvetica"/>
    </font>
    <font>
      <b/>
      <sz val="80"/>
      <color theme="1"/>
      <name val="Helvetica"/>
    </font>
    <font>
      <b/>
      <sz val="48"/>
      <color rgb="FFFF0000"/>
      <name val="Helvetica"/>
    </font>
    <font>
      <sz val="8"/>
      <color theme="0" tint="-0.34998626667073579"/>
      <name val="Helvetica"/>
    </font>
    <font>
      <b/>
      <sz val="8"/>
      <color theme="0" tint="-0.34998626667073579"/>
      <name val="Helvetica"/>
    </font>
    <font>
      <sz val="8"/>
      <name val="Calibri"/>
      <family val="2"/>
      <scheme val="minor"/>
    </font>
    <font>
      <sz val="12"/>
      <color rgb="FFB30000"/>
      <name val="Helvetica"/>
    </font>
    <font>
      <b/>
      <sz val="14"/>
      <color rgb="FFB30000"/>
      <name val="Helvetica"/>
    </font>
    <font>
      <b/>
      <sz val="48"/>
      <color theme="1"/>
      <name val="Helvetica"/>
    </font>
    <font>
      <b/>
      <sz val="22"/>
      <color theme="0" tint="-0.249977111117893"/>
      <name val="Helvetica"/>
    </font>
    <font>
      <b/>
      <sz val="48"/>
      <color theme="0" tint="-0.249977111117893"/>
      <name val="Helvetica"/>
    </font>
    <font>
      <b/>
      <sz val="36"/>
      <color theme="0" tint="-0.34998626667073579"/>
      <name val="Helvetica"/>
    </font>
    <font>
      <b/>
      <sz val="124"/>
      <color theme="0" tint="-4.9989318521683403E-2"/>
      <name val="Helvetica"/>
    </font>
    <font>
      <sz val="20"/>
      <color theme="0" tint="-4.9989318521683403E-2"/>
      <name val="Helvetica"/>
    </font>
    <font>
      <b/>
      <sz val="26"/>
      <color rgb="FFFF0000"/>
      <name val="Helvetica"/>
    </font>
    <font>
      <b/>
      <sz val="28"/>
      <color theme="0" tint="-0.34998626667073579"/>
      <name val="Helvetica"/>
    </font>
    <font>
      <sz val="26"/>
      <name val="Helvetica"/>
    </font>
    <font>
      <b/>
      <sz val="48"/>
      <color theme="0" tint="-4.9989318521683403E-2"/>
      <name val="Helvetica"/>
    </font>
    <font>
      <sz val="14"/>
      <color theme="0" tint="-4.9989318521683403E-2"/>
      <name val="Helvetica"/>
    </font>
    <font>
      <b/>
      <sz val="26"/>
      <color rgb="FF89A31C"/>
      <name val="Helvetica"/>
    </font>
    <font>
      <b/>
      <sz val="48"/>
      <color rgb="FF89A31C"/>
      <name val="Helvetica"/>
    </font>
    <font>
      <b/>
      <sz val="12"/>
      <color rgb="FF89A31C"/>
      <name val="Helvetica"/>
    </font>
    <font>
      <b/>
      <sz val="36"/>
      <color rgb="FF89A31C"/>
      <name val="Helvetica"/>
    </font>
    <font>
      <sz val="12"/>
      <color rgb="FF89A31C"/>
      <name val="Helvetica"/>
    </font>
    <font>
      <b/>
      <sz val="14"/>
      <color rgb="FF89A31C"/>
      <name val="Helvetica"/>
    </font>
    <font>
      <b/>
      <sz val="18"/>
      <color rgb="FF453525"/>
      <name val="Helvetica"/>
    </font>
    <font>
      <b/>
      <sz val="11"/>
      <color rgb="FF453525"/>
      <name val="Helvetica"/>
    </font>
    <font>
      <b/>
      <sz val="16"/>
      <color rgb="FF453525"/>
      <name val="Helvetica"/>
    </font>
    <font>
      <b/>
      <sz val="28"/>
      <color rgb="FF453525"/>
      <name val="Helvetica"/>
    </font>
    <font>
      <b/>
      <sz val="26"/>
      <color rgb="FF453525"/>
      <name val="Helvetica"/>
    </font>
    <font>
      <b/>
      <sz val="14"/>
      <color rgb="FF453525"/>
      <name val="Helvetica"/>
    </font>
    <font>
      <sz val="12"/>
      <color rgb="FF453525"/>
      <name val="Helvetica"/>
    </font>
    <font>
      <sz val="10"/>
      <color rgb="FF453525"/>
      <name val="Helvetica"/>
    </font>
    <font>
      <b/>
      <sz val="12"/>
      <color rgb="FF453525"/>
      <name val="Helvetica"/>
    </font>
    <font>
      <b/>
      <sz val="72"/>
      <color rgb="FF453525"/>
      <name val="Helvetica"/>
    </font>
    <font>
      <b/>
      <sz val="10"/>
      <color rgb="FF453525"/>
      <name val="Helvetica"/>
    </font>
    <font>
      <sz val="8"/>
      <color rgb="FF453525"/>
      <name val="Helvetica"/>
    </font>
    <font>
      <sz val="20"/>
      <color rgb="FF453525"/>
      <name val="Helvetica"/>
    </font>
    <font>
      <b/>
      <sz val="8"/>
      <color rgb="FF453525"/>
      <name val="Helvetica"/>
    </font>
    <font>
      <b/>
      <sz val="9"/>
      <color rgb="FF453525"/>
      <name val="Helvetica"/>
    </font>
    <font>
      <sz val="9"/>
      <color rgb="FF453525"/>
      <name val="Helvetica"/>
    </font>
    <font>
      <b/>
      <sz val="24"/>
      <color rgb="FF453525"/>
      <name val="Helvetica"/>
    </font>
    <font>
      <b/>
      <sz val="16"/>
      <color rgb="FFD99116"/>
      <name val="Helvetica"/>
    </font>
    <font>
      <b/>
      <sz val="72"/>
      <color rgb="FF574532"/>
      <name val="Helvetica"/>
    </font>
    <font>
      <sz val="12"/>
      <color rgb="FF574532"/>
      <name val="Helvetica"/>
    </font>
    <font>
      <b/>
      <sz val="12"/>
      <color rgb="FF574532"/>
      <name val="Helvetica"/>
    </font>
    <font>
      <b/>
      <sz val="18"/>
      <color rgb="FF574532"/>
      <name val="Helvetica"/>
    </font>
    <font>
      <b/>
      <sz val="16"/>
      <color rgb="FF574532"/>
      <name val="Helvetica"/>
    </font>
    <font>
      <b/>
      <sz val="20"/>
      <color rgb="FF574532"/>
      <name val="Helvetica"/>
    </font>
    <font>
      <sz val="36"/>
      <color rgb="FF574532"/>
      <name val="Helvetica"/>
    </font>
    <font>
      <b/>
      <sz val="14"/>
      <color rgb="FF574532"/>
      <name val="Helvetica"/>
    </font>
    <font>
      <sz val="14"/>
      <color rgb="FF574532"/>
      <name val="Helvetica"/>
    </font>
    <font>
      <sz val="8"/>
      <color rgb="FF574532"/>
      <name val="Helvetica"/>
    </font>
    <font>
      <sz val="10"/>
      <color rgb="FF574532"/>
      <name val="Helvetica"/>
    </font>
    <font>
      <b/>
      <sz val="11"/>
      <color rgb="FF574532"/>
      <name val="Helvetica"/>
    </font>
    <font>
      <sz val="20"/>
      <color rgb="FF574532"/>
      <name val="Helvetica"/>
    </font>
    <font>
      <b/>
      <sz val="8"/>
      <color rgb="FF574532"/>
      <name val="Helvetica"/>
    </font>
    <font>
      <b/>
      <sz val="9"/>
      <color rgb="FF574532"/>
      <name val="Helvetica"/>
    </font>
    <font>
      <sz val="9"/>
      <color rgb="FF574532"/>
      <name val="Helvetica"/>
    </font>
    <font>
      <b/>
      <sz val="48"/>
      <color rgb="FF574532"/>
      <name val="Helvetica"/>
    </font>
    <font>
      <b/>
      <sz val="22"/>
      <color rgb="FF574532"/>
      <name val="Helvetica"/>
    </font>
    <font>
      <sz val="10"/>
      <color theme="1" tint="0.499984740745262"/>
      <name val="Helvetica"/>
    </font>
    <font>
      <sz val="16"/>
      <color theme="1" tint="0.499984740745262"/>
      <name val="Helvetica"/>
    </font>
    <font>
      <b/>
      <sz val="12"/>
      <color theme="0" tint="-0.34998626667073579"/>
      <name val="Helvetica"/>
    </font>
    <font>
      <b/>
      <sz val="12"/>
      <color rgb="FFCE7F13"/>
      <name val="Helvetica"/>
    </font>
    <font>
      <sz val="10"/>
      <color rgb="FF808080"/>
      <name val="Helvetica"/>
    </font>
    <font>
      <b/>
      <sz val="72"/>
      <color rgb="FF89A31C"/>
      <name val="Helvetica"/>
    </font>
    <font>
      <sz val="12"/>
      <color rgb="FF779616"/>
      <name val="Helvetica"/>
    </font>
    <font>
      <b/>
      <sz val="140"/>
      <color theme="0" tint="-4.9989318521683403E-2"/>
      <name val="Helvetica"/>
    </font>
    <font>
      <b/>
      <sz val="36"/>
      <color theme="1"/>
      <name val="Helvetica"/>
    </font>
    <font>
      <b/>
      <sz val="18"/>
      <color rgb="FF89A31C"/>
      <name val="Helvetica"/>
    </font>
    <font>
      <b/>
      <sz val="18"/>
      <color theme="0" tint="-0.34998626667073579"/>
      <name val="Helvetica"/>
    </font>
    <font>
      <b/>
      <sz val="18"/>
      <color rgb="FFCE7F13"/>
      <name val="Helvetica"/>
    </font>
    <font>
      <b/>
      <sz val="11"/>
      <name val="Helvetica"/>
    </font>
    <font>
      <b/>
      <sz val="24"/>
      <color rgb="FF574532"/>
      <name val="Helvetica"/>
    </font>
    <font>
      <b/>
      <sz val="64"/>
      <color rgb="FF453525"/>
      <name val="Helvetica"/>
    </font>
    <font>
      <sz val="12"/>
      <color theme="1"/>
      <name val="Helvetica LT Std Fractions"/>
    </font>
    <font>
      <sz val="12"/>
      <color rgb="FFFF0000"/>
      <name val="Helvetica LT Std Fractions"/>
    </font>
    <font>
      <b/>
      <sz val="14"/>
      <color rgb="FF779616"/>
      <name val="Helvetica"/>
    </font>
    <font>
      <b/>
      <sz val="16"/>
      <color theme="0" tint="-0.34998626667073579"/>
      <name val="Helvetica"/>
    </font>
  </fonts>
  <fills count="4">
    <fill>
      <patternFill patternType="none"/>
    </fill>
    <fill>
      <patternFill patternType="gray125"/>
    </fill>
    <fill>
      <patternFill patternType="solid">
        <fgColor theme="1"/>
        <bgColor indexed="64"/>
      </patternFill>
    </fill>
    <fill>
      <patternFill patternType="solid">
        <fgColor rgb="FF574532"/>
        <bgColor indexed="64"/>
      </patternFill>
    </fill>
  </fills>
  <borders count="25">
    <border>
      <left/>
      <right/>
      <top/>
      <bottom/>
      <diagonal/>
    </border>
    <border>
      <left style="dashed">
        <color auto="1"/>
      </left>
      <right style="dashed">
        <color auto="1"/>
      </right>
      <top style="dashed">
        <color auto="1"/>
      </top>
      <bottom/>
      <diagonal/>
    </border>
    <border>
      <left style="dashed">
        <color auto="1"/>
      </left>
      <right style="dashed">
        <color auto="1"/>
      </right>
      <top/>
      <bottom/>
      <diagonal/>
    </border>
    <border>
      <left style="dashed">
        <color auto="1"/>
      </left>
      <right style="dashed">
        <color auto="1"/>
      </right>
      <top/>
      <bottom style="dashed">
        <color auto="1"/>
      </bottom>
      <diagonal/>
    </border>
    <border>
      <left/>
      <right/>
      <top/>
      <bottom style="dotted">
        <color auto="1"/>
      </bottom>
      <diagonal/>
    </border>
    <border>
      <left style="dashed">
        <color auto="1"/>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style="dashed">
        <color auto="1"/>
      </right>
      <top/>
      <bottom style="dashed">
        <color auto="1"/>
      </bottom>
      <diagonal/>
    </border>
    <border>
      <left/>
      <right/>
      <top/>
      <bottom style="medium">
        <color auto="1"/>
      </bottom>
      <diagonal/>
    </border>
    <border>
      <left/>
      <right/>
      <top/>
      <bottom style="thin">
        <color auto="1"/>
      </bottom>
      <diagonal/>
    </border>
    <border>
      <left/>
      <right/>
      <top/>
      <bottom style="medium">
        <color rgb="FF453525"/>
      </bottom>
      <diagonal/>
    </border>
    <border>
      <left/>
      <right/>
      <top style="medium">
        <color rgb="FF574532"/>
      </top>
      <bottom/>
      <diagonal/>
    </border>
    <border>
      <left/>
      <right/>
      <top/>
      <bottom style="thick">
        <color rgb="FF574532"/>
      </bottom>
      <diagonal/>
    </border>
    <border>
      <left/>
      <right/>
      <top/>
      <bottom style="medium">
        <color rgb="FF574532"/>
      </bottom>
      <diagonal/>
    </border>
    <border>
      <left/>
      <right/>
      <top style="thick">
        <color rgb="FF574532"/>
      </top>
      <bottom/>
      <diagonal/>
    </border>
    <border>
      <left/>
      <right/>
      <top style="thin">
        <color rgb="FF453525"/>
      </top>
      <bottom/>
      <diagonal/>
    </border>
    <border>
      <left/>
      <right style="medium">
        <color rgb="FF574532"/>
      </right>
      <top/>
      <bottom/>
      <diagonal/>
    </border>
    <border>
      <left/>
      <right/>
      <top/>
      <bottom style="thin">
        <color rgb="FF453525"/>
      </bottom>
      <diagonal/>
    </border>
    <border>
      <left style="dotted">
        <color auto="1"/>
      </left>
      <right style="dotted">
        <color auto="1"/>
      </right>
      <top style="dotted">
        <color auto="1"/>
      </top>
      <bottom style="dotted">
        <color auto="1"/>
      </bottom>
      <diagonal/>
    </border>
    <border>
      <left style="dotted">
        <color theme="1" tint="0.499984740745262"/>
      </left>
      <right style="dotted">
        <color theme="1" tint="0.499984740745262"/>
      </right>
      <top style="dotted">
        <color theme="1" tint="0.499984740745262"/>
      </top>
      <bottom/>
      <diagonal/>
    </border>
    <border>
      <left style="dotted">
        <color theme="1" tint="0.499984740745262"/>
      </left>
      <right style="dotted">
        <color theme="1" tint="0.499984740745262"/>
      </right>
      <top/>
      <bottom/>
      <diagonal/>
    </border>
    <border>
      <left style="dotted">
        <color theme="1" tint="0.499984740745262"/>
      </left>
      <right style="dotted">
        <color theme="1" tint="0.499984740745262"/>
      </right>
      <top/>
      <bottom style="dotted">
        <color theme="1" tint="0.499984740745262"/>
      </bottom>
      <diagonal/>
    </border>
  </borders>
  <cellStyleXfs count="2487">
    <xf numFmtId="0" fontId="0" fillId="0" borderId="0"/>
    <xf numFmtId="43" fontId="3" fillId="0" borderId="0" applyFon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9" fontId="2" fillId="0" borderId="0" applyFon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43" fontId="1" fillId="0" borderId="0" applyFon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cellStyleXfs>
  <cellXfs count="302">
    <xf numFmtId="0" fontId="0" fillId="0" borderId="0" xfId="0"/>
    <xf numFmtId="0" fontId="4" fillId="0" borderId="0" xfId="0" applyFont="1"/>
    <xf numFmtId="0" fontId="5" fillId="0" borderId="0" xfId="0" applyFont="1"/>
    <xf numFmtId="0" fontId="5" fillId="0" borderId="0" xfId="0" applyFont="1" applyAlignment="1">
      <alignment horizontal="left"/>
    </xf>
    <xf numFmtId="0" fontId="5" fillId="2" borderId="0" xfId="0" applyFont="1" applyFill="1"/>
    <xf numFmtId="0" fontId="8" fillId="2" borderId="0" xfId="0" applyFont="1" applyFill="1" applyAlignment="1">
      <alignment vertical="center"/>
    </xf>
    <xf numFmtId="0" fontId="5" fillId="0" borderId="1" xfId="0" applyFont="1" applyBorder="1"/>
    <xf numFmtId="0" fontId="5" fillId="0" borderId="2" xfId="0" applyFont="1" applyBorder="1"/>
    <xf numFmtId="0" fontId="5" fillId="0" borderId="3" xfId="0" applyFont="1" applyBorder="1"/>
    <xf numFmtId="0" fontId="10" fillId="0" borderId="0" xfId="0" applyFont="1"/>
    <xf numFmtId="0" fontId="5" fillId="0" borderId="0" xfId="0" applyFont="1" applyAlignment="1">
      <alignment vertical="center"/>
    </xf>
    <xf numFmtId="0" fontId="5" fillId="0" borderId="0" xfId="0" quotePrefix="1" applyFont="1"/>
    <xf numFmtId="0" fontId="5" fillId="0" borderId="0" xfId="0" applyFont="1" applyAlignment="1">
      <alignment horizontal="left" indent="1"/>
    </xf>
    <xf numFmtId="0" fontId="5" fillId="0" borderId="0" xfId="0" applyFont="1" applyFill="1"/>
    <xf numFmtId="0" fontId="17" fillId="0" borderId="0" xfId="0" applyFont="1" applyAlignment="1">
      <alignment vertical="center"/>
    </xf>
    <xf numFmtId="0" fontId="17" fillId="0" borderId="0" xfId="0" applyFont="1"/>
    <xf numFmtId="0" fontId="19" fillId="0" borderId="0" xfId="0" applyFont="1" applyAlignment="1">
      <alignment vertical="center"/>
    </xf>
    <xf numFmtId="0" fontId="20" fillId="0" borderId="0" xfId="0" applyFont="1"/>
    <xf numFmtId="3" fontId="5" fillId="0" borderId="0" xfId="0" applyNumberFormat="1" applyFont="1"/>
    <xf numFmtId="0" fontId="21" fillId="0" borderId="0" xfId="0" applyFont="1" applyAlignment="1">
      <alignment vertical="center"/>
    </xf>
    <xf numFmtId="0" fontId="21" fillId="0" borderId="0" xfId="0" applyFont="1"/>
    <xf numFmtId="0" fontId="21" fillId="0" borderId="0" xfId="0" applyFont="1" applyFill="1"/>
    <xf numFmtId="1" fontId="0" fillId="0" borderId="0" xfId="0" applyNumberFormat="1"/>
    <xf numFmtId="166" fontId="0" fillId="0" borderId="0" xfId="1625" applyNumberFormat="1" applyFont="1"/>
    <xf numFmtId="169" fontId="0" fillId="0" borderId="0" xfId="0" applyNumberFormat="1"/>
    <xf numFmtId="3" fontId="19" fillId="0" borderId="0" xfId="0" applyNumberFormat="1" applyFont="1" applyBorder="1" applyAlignment="1">
      <alignment horizontal="center" vertical="center"/>
    </xf>
    <xf numFmtId="0" fontId="5" fillId="0" borderId="5" xfId="0" applyFont="1" applyBorder="1" applyAlignment="1">
      <alignment horizontal="left"/>
    </xf>
    <xf numFmtId="0" fontId="5" fillId="0" borderId="6" xfId="0" applyFont="1"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9" xfId="0" applyFont="1" applyBorder="1" applyAlignment="1">
      <alignment horizontal="left"/>
    </xf>
    <xf numFmtId="0" fontId="5" fillId="0" borderId="10" xfId="0" applyFont="1" applyBorder="1" applyAlignment="1">
      <alignment horizontal="left"/>
    </xf>
    <xf numFmtId="0" fontId="5" fillId="0" borderId="5"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6" xfId="0" applyFont="1" applyBorder="1"/>
    <xf numFmtId="0" fontId="5" fillId="0" borderId="8" xfId="0" applyFont="1" applyBorder="1"/>
    <xf numFmtId="0" fontId="5" fillId="0" borderId="10" xfId="0" applyFont="1" applyBorder="1"/>
    <xf numFmtId="0" fontId="22" fillId="0" borderId="0" xfId="0" applyFont="1"/>
    <xf numFmtId="166" fontId="0" fillId="0" borderId="0" xfId="0" applyNumberFormat="1"/>
    <xf numFmtId="43" fontId="0" fillId="0" borderId="0" xfId="0" applyNumberFormat="1"/>
    <xf numFmtId="166" fontId="23" fillId="0" borderId="0" xfId="1625" applyNumberFormat="1" applyFont="1"/>
    <xf numFmtId="0" fontId="20" fillId="0" borderId="0" xfId="0" applyFont="1" applyAlignment="1">
      <alignment vertical="center"/>
    </xf>
    <xf numFmtId="0" fontId="9" fillId="0" borderId="0" xfId="0" applyFont="1" applyAlignment="1">
      <alignment horizontal="center" vertical="center" wrapText="1"/>
    </xf>
    <xf numFmtId="172" fontId="20" fillId="0" borderId="0" xfId="0" applyNumberFormat="1" applyFont="1" applyAlignment="1">
      <alignment horizontal="center" vertical="center" shrinkToFit="1"/>
    </xf>
    <xf numFmtId="0" fontId="12" fillId="0" borderId="0" xfId="0" applyFont="1" applyAlignment="1">
      <alignment horizontal="center" wrapText="1"/>
    </xf>
    <xf numFmtId="171" fontId="28" fillId="0" borderId="0" xfId="0" applyNumberFormat="1" applyFont="1" applyAlignment="1">
      <alignment horizontal="center" vertical="center"/>
    </xf>
    <xf numFmtId="171" fontId="15" fillId="0" borderId="0" xfId="0" applyNumberFormat="1" applyFont="1" applyAlignment="1">
      <alignment horizontal="center" vertical="center"/>
    </xf>
    <xf numFmtId="164" fontId="18" fillId="0" borderId="0" xfId="0" applyNumberFormat="1" applyFont="1" applyBorder="1" applyAlignment="1">
      <alignment horizontal="center" vertical="center" shrinkToFit="1"/>
    </xf>
    <xf numFmtId="0" fontId="29" fillId="0" borderId="0" xfId="0" applyFont="1" applyBorder="1" applyAlignment="1">
      <alignment horizontal="left" vertical="top" wrapText="1"/>
    </xf>
    <xf numFmtId="0" fontId="29" fillId="0" borderId="0" xfId="0" applyFont="1" applyAlignment="1"/>
    <xf numFmtId="0" fontId="31" fillId="0" borderId="0" xfId="0" applyFont="1"/>
    <xf numFmtId="0" fontId="14" fillId="0" borderId="0" xfId="0" applyFont="1" applyFill="1" applyAlignment="1">
      <alignment horizontal="center" vertical="center"/>
    </xf>
    <xf numFmtId="0" fontId="14" fillId="0" borderId="0" xfId="0" applyFont="1" applyAlignment="1">
      <alignment horizontal="center" vertical="center"/>
    </xf>
    <xf numFmtId="172" fontId="30" fillId="0" borderId="0" xfId="0" applyNumberFormat="1" applyFont="1" applyAlignment="1">
      <alignment horizontal="center" vertical="center" shrinkToFit="1"/>
    </xf>
    <xf numFmtId="0" fontId="16" fillId="0" borderId="0" xfId="0" applyFont="1" applyAlignment="1">
      <alignment horizontal="center" wrapText="1"/>
    </xf>
    <xf numFmtId="0" fontId="13" fillId="0" borderId="0" xfId="0" applyFont="1" applyBorder="1" applyAlignment="1">
      <alignment horizontal="left" wrapText="1"/>
    </xf>
    <xf numFmtId="0" fontId="26" fillId="0" borderId="0" xfId="0" applyFont="1" applyBorder="1" applyAlignment="1">
      <alignment horizontal="left" wrapText="1"/>
    </xf>
    <xf numFmtId="0" fontId="29" fillId="0" borderId="0" xfId="0" applyFont="1" applyBorder="1" applyAlignment="1">
      <alignment vertical="center" shrinkToFit="1"/>
    </xf>
    <xf numFmtId="167" fontId="25" fillId="0" borderId="0" xfId="1" applyNumberFormat="1" applyFont="1" applyAlignment="1">
      <alignment horizontal="center" vertical="center" shrinkToFit="1"/>
    </xf>
    <xf numFmtId="165" fontId="33" fillId="0" borderId="0" xfId="0" applyNumberFormat="1" applyFont="1" applyAlignment="1">
      <alignment horizontal="left" vertical="center" indent="1"/>
    </xf>
    <xf numFmtId="173" fontId="24" fillId="0" borderId="0" xfId="0" applyNumberFormat="1" applyFont="1" applyBorder="1" applyAlignment="1">
      <alignment horizontal="center" vertical="center"/>
    </xf>
    <xf numFmtId="0" fontId="38" fillId="0" borderId="0" xfId="0" applyFont="1" applyBorder="1" applyAlignment="1">
      <alignment horizontal="left" vertical="top" wrapText="1"/>
    </xf>
    <xf numFmtId="3" fontId="39" fillId="0" borderId="0" xfId="1" applyNumberFormat="1" applyFont="1" applyBorder="1" applyAlignment="1">
      <alignment horizontal="left" vertical="center" indent="1"/>
    </xf>
    <xf numFmtId="0" fontId="4" fillId="0" borderId="0" xfId="0" applyFont="1" applyAlignment="1">
      <alignment horizontal="right"/>
    </xf>
    <xf numFmtId="0" fontId="40" fillId="0" borderId="0" xfId="0" applyFont="1"/>
    <xf numFmtId="164" fontId="40" fillId="0" borderId="0" xfId="0" applyNumberFormat="1" applyFont="1" applyBorder="1" applyAlignment="1">
      <alignment horizontal="center" vertical="center" shrinkToFit="1"/>
    </xf>
    <xf numFmtId="3" fontId="41" fillId="0" borderId="0" xfId="0" applyNumberFormat="1" applyFont="1" applyBorder="1" applyAlignment="1">
      <alignment horizontal="center" vertical="center"/>
    </xf>
    <xf numFmtId="0" fontId="40" fillId="0" borderId="0" xfId="0" applyFont="1" applyAlignment="1">
      <alignment horizontal="left" indent="1"/>
    </xf>
    <xf numFmtId="0" fontId="40" fillId="0" borderId="0" xfId="0" applyFont="1" applyAlignment="1">
      <alignment vertical="center"/>
    </xf>
    <xf numFmtId="0" fontId="12" fillId="0" borderId="0" xfId="0" applyFont="1"/>
    <xf numFmtId="0" fontId="40" fillId="0" borderId="0" xfId="0" applyFont="1" applyAlignment="1">
      <alignment horizontal="right"/>
    </xf>
    <xf numFmtId="0" fontId="4" fillId="0" borderId="0" xfId="0" applyNumberFormat="1" applyFont="1" applyAlignment="1">
      <alignment horizontal="right"/>
    </xf>
    <xf numFmtId="0" fontId="43" fillId="0" borderId="0" xfId="0" applyFont="1"/>
    <xf numFmtId="164" fontId="44" fillId="0" borderId="0" xfId="0" applyNumberFormat="1" applyFont="1" applyBorder="1" applyAlignment="1">
      <alignment horizontal="right" shrinkToFit="1"/>
    </xf>
    <xf numFmtId="0" fontId="37" fillId="0" borderId="0" xfId="0" applyFont="1" applyAlignment="1">
      <alignment vertical="top"/>
    </xf>
    <xf numFmtId="0" fontId="27" fillId="0" borderId="0" xfId="0" applyFont="1" applyAlignment="1">
      <alignment horizontal="left" indent="1"/>
    </xf>
    <xf numFmtId="0" fontId="48" fillId="0" borderId="0" xfId="0" applyFont="1" applyAlignment="1">
      <alignment horizontal="left" vertical="center" wrapText="1" indent="1" shrinkToFit="1"/>
    </xf>
    <xf numFmtId="3" fontId="47" fillId="0" borderId="0" xfId="1" applyNumberFormat="1" applyFont="1" applyAlignment="1">
      <alignment horizontal="right" vertical="center" wrapText="1" shrinkToFit="1"/>
    </xf>
    <xf numFmtId="0" fontId="17" fillId="0" borderId="0" xfId="0" applyFont="1" applyProtection="1">
      <protection locked="0"/>
    </xf>
    <xf numFmtId="0" fontId="21" fillId="0" borderId="0" xfId="0" applyFont="1" applyProtection="1">
      <protection locked="0"/>
    </xf>
    <xf numFmtId="0" fontId="49" fillId="0" borderId="0" xfId="0" applyFont="1" applyAlignment="1">
      <alignment wrapText="1" shrinkToFit="1"/>
    </xf>
    <xf numFmtId="0" fontId="48" fillId="0" borderId="0" xfId="0" applyFont="1" applyAlignment="1">
      <alignment horizontal="left" vertical="center" wrapText="1" indent="1" shrinkToFit="1"/>
    </xf>
    <xf numFmtId="3" fontId="47" fillId="0" borderId="0" xfId="1" applyNumberFormat="1" applyFont="1" applyAlignment="1">
      <alignment horizontal="right" vertical="center" wrapText="1" shrinkToFit="1"/>
    </xf>
    <xf numFmtId="0" fontId="50" fillId="3" borderId="0" xfId="0" applyFont="1" applyFill="1" applyAlignment="1">
      <alignment horizontal="left" vertical="top" wrapText="1" indent="1"/>
    </xf>
    <xf numFmtId="0" fontId="8" fillId="3" borderId="0" xfId="0" applyFont="1" applyFill="1" applyAlignment="1">
      <alignment horizontal="center" vertical="center"/>
    </xf>
    <xf numFmtId="0" fontId="8" fillId="3" borderId="0" xfId="2436" applyFont="1" applyFill="1" applyAlignment="1" applyProtection="1">
      <alignment horizontal="center" vertical="center"/>
      <protection locked="0"/>
    </xf>
    <xf numFmtId="0" fontId="60" fillId="0" borderId="0" xfId="0" applyFont="1" applyAlignment="1">
      <alignment vertical="top"/>
    </xf>
    <xf numFmtId="0" fontId="34" fillId="3" borderId="0" xfId="0" applyFont="1" applyFill="1"/>
    <xf numFmtId="0" fontId="34" fillId="3" borderId="4" xfId="0" applyFont="1" applyFill="1" applyBorder="1"/>
    <xf numFmtId="0" fontId="34" fillId="3" borderId="0" xfId="0" applyFont="1" applyFill="1" applyBorder="1"/>
    <xf numFmtId="0" fontId="64" fillId="0" borderId="0" xfId="0" applyFont="1" applyBorder="1" applyAlignment="1">
      <alignment horizontal="left" vertical="center" wrapText="1"/>
    </xf>
    <xf numFmtId="0" fontId="65" fillId="0" borderId="0" xfId="0" applyFont="1" applyBorder="1" applyAlignment="1">
      <alignment horizontal="left" vertical="center" wrapText="1" shrinkToFit="1"/>
    </xf>
    <xf numFmtId="0" fontId="66" fillId="0" borderId="0" xfId="0" applyFont="1" applyBorder="1" applyAlignment="1">
      <alignment horizontal="left" vertical="center" wrapText="1"/>
    </xf>
    <xf numFmtId="0" fontId="68" fillId="0" borderId="0" xfId="0" applyFont="1" applyAlignment="1">
      <alignment horizontal="left" vertical="top" indent="1"/>
    </xf>
    <xf numFmtId="0" fontId="67" fillId="0" borderId="0" xfId="0" applyFont="1" applyAlignment="1">
      <alignment horizontal="left" indent="1"/>
    </xf>
    <xf numFmtId="0" fontId="68" fillId="0" borderId="0" xfId="0" applyFont="1" applyAlignment="1">
      <alignment horizontal="left" indent="1"/>
    </xf>
    <xf numFmtId="0" fontId="68" fillId="0" borderId="0" xfId="0" applyFont="1"/>
    <xf numFmtId="0" fontId="69" fillId="0" borderId="0" xfId="0" applyFont="1" applyFill="1" applyAlignment="1">
      <alignment horizontal="center" vertical="center"/>
    </xf>
    <xf numFmtId="0" fontId="71" fillId="0" borderId="0" xfId="0" applyFont="1" applyAlignment="1">
      <alignment horizontal="center" vertical="center" wrapText="1"/>
    </xf>
    <xf numFmtId="0" fontId="70" fillId="0" borderId="0" xfId="0" applyFont="1" applyBorder="1" applyAlignment="1">
      <alignment vertical="center" wrapText="1"/>
    </xf>
    <xf numFmtId="0" fontId="64" fillId="0" borderId="11" xfId="0" applyFont="1" applyBorder="1" applyAlignment="1">
      <alignment horizontal="left" wrapText="1"/>
    </xf>
    <xf numFmtId="0" fontId="64" fillId="0" borderId="0" xfId="0" applyFont="1" applyBorder="1" applyAlignment="1">
      <alignment horizontal="left" wrapText="1"/>
    </xf>
    <xf numFmtId="0" fontId="68" fillId="0" borderId="0" xfId="0" applyFont="1" applyBorder="1" applyAlignment="1"/>
    <xf numFmtId="0" fontId="72" fillId="0" borderId="0" xfId="0" applyFont="1" applyBorder="1" applyAlignment="1">
      <alignment horizontal="left" vertical="center" wrapText="1"/>
    </xf>
    <xf numFmtId="0" fontId="70" fillId="0" borderId="0" xfId="0" applyFont="1" applyBorder="1" applyAlignment="1"/>
    <xf numFmtId="171" fontId="73" fillId="0" borderId="0" xfId="0" applyNumberFormat="1" applyFont="1" applyAlignment="1">
      <alignment horizontal="center" vertical="center"/>
    </xf>
    <xf numFmtId="0" fontId="74" fillId="0" borderId="0" xfId="0" applyFont="1" applyAlignment="1">
      <alignment horizontal="center"/>
    </xf>
    <xf numFmtId="0" fontId="67" fillId="0" borderId="12" xfId="0" applyFont="1" applyBorder="1" applyAlignment="1">
      <alignment horizontal="left" wrapText="1"/>
    </xf>
    <xf numFmtId="0" fontId="72" fillId="0" borderId="0" xfId="0" applyFont="1" applyAlignment="1">
      <alignment horizontal="left" vertical="center" wrapText="1"/>
    </xf>
    <xf numFmtId="0" fontId="72" fillId="0" borderId="0" xfId="0" applyFont="1" applyAlignment="1">
      <alignment horizontal="center" vertical="center" wrapText="1"/>
    </xf>
    <xf numFmtId="0" fontId="75" fillId="0" borderId="0" xfId="0" applyFont="1" applyBorder="1" applyAlignment="1"/>
    <xf numFmtId="0" fontId="73" fillId="0" borderId="0" xfId="0" applyFont="1" applyFill="1" applyAlignment="1">
      <alignment horizontal="center"/>
    </xf>
    <xf numFmtId="0" fontId="73" fillId="0" borderId="0" xfId="0" applyFont="1" applyAlignment="1">
      <alignment horizontal="center" wrapText="1"/>
    </xf>
    <xf numFmtId="0" fontId="73" fillId="0" borderId="0" xfId="0" applyFont="1"/>
    <xf numFmtId="168" fontId="76" fillId="0" borderId="0" xfId="0" applyNumberFormat="1" applyFont="1" applyBorder="1" applyAlignment="1">
      <alignment horizontal="center"/>
    </xf>
    <xf numFmtId="0" fontId="74" fillId="0" borderId="0" xfId="0" applyFont="1" applyFill="1" applyAlignment="1">
      <alignment horizontal="center"/>
    </xf>
    <xf numFmtId="168" fontId="75" fillId="0" borderId="0" xfId="0" applyNumberFormat="1" applyFont="1" applyBorder="1" applyAlignment="1">
      <alignment horizontal="center"/>
    </xf>
    <xf numFmtId="168" fontId="75" fillId="0" borderId="0" xfId="0" applyNumberFormat="1" applyFont="1" applyBorder="1"/>
    <xf numFmtId="175" fontId="76" fillId="0" borderId="0" xfId="0" applyNumberFormat="1" applyFont="1" applyAlignment="1">
      <alignment horizontal="right" vertical="center" indent="1"/>
    </xf>
    <xf numFmtId="171" fontId="73" fillId="0" borderId="0" xfId="0" applyNumberFormat="1" applyFont="1" applyAlignment="1">
      <alignment horizontal="center" vertical="center" shrinkToFit="1"/>
    </xf>
    <xf numFmtId="3" fontId="69" fillId="0" borderId="0" xfId="0" applyNumberFormat="1" applyFont="1" applyAlignment="1">
      <alignment horizontal="center" vertical="center" shrinkToFit="1"/>
    </xf>
    <xf numFmtId="172" fontId="69" fillId="0" borderId="0" xfId="0" applyNumberFormat="1" applyFont="1" applyAlignment="1">
      <alignment horizontal="center" vertical="center" shrinkToFit="1"/>
    </xf>
    <xf numFmtId="171" fontId="77" fillId="0" borderId="0" xfId="0" applyNumberFormat="1" applyFont="1" applyAlignment="1">
      <alignment horizontal="right" vertical="center"/>
    </xf>
    <xf numFmtId="165" fontId="76" fillId="0" borderId="0" xfId="0" applyNumberFormat="1" applyFont="1" applyAlignment="1">
      <alignment horizontal="right" vertical="center" indent="1"/>
    </xf>
    <xf numFmtId="0" fontId="74" fillId="0" borderId="0" xfId="0" applyFont="1" applyFill="1" applyAlignment="1">
      <alignment horizontal="center" vertical="center"/>
    </xf>
    <xf numFmtId="3" fontId="73" fillId="0" borderId="0" xfId="0" applyNumberFormat="1" applyFont="1" applyAlignment="1">
      <alignment horizontal="center" vertical="center" shrinkToFit="1"/>
    </xf>
    <xf numFmtId="172" fontId="73" fillId="0" borderId="0" xfId="0" applyNumberFormat="1" applyFont="1" applyAlignment="1">
      <alignment horizontal="center" vertical="center" shrinkToFit="1"/>
    </xf>
    <xf numFmtId="0" fontId="62" fillId="0" borderId="0" xfId="0" applyFont="1" applyBorder="1" applyAlignment="1">
      <alignment horizontal="center" vertical="center" wrapText="1" shrinkToFit="1"/>
    </xf>
    <xf numFmtId="0" fontId="67" fillId="0" borderId="0" xfId="0" applyFont="1" applyBorder="1" applyAlignment="1">
      <alignment horizontal="left" vertical="center" wrapText="1" shrinkToFit="1"/>
    </xf>
    <xf numFmtId="171" fontId="78" fillId="0" borderId="0" xfId="0" applyNumberFormat="1" applyFont="1" applyAlignment="1">
      <alignment horizontal="center" vertical="center" shrinkToFit="1"/>
    </xf>
    <xf numFmtId="0" fontId="64" fillId="0" borderId="0" xfId="0" applyFont="1" applyAlignment="1">
      <alignment horizontal="left" wrapText="1"/>
    </xf>
    <xf numFmtId="0" fontId="11" fillId="3" borderId="0" xfId="0" applyFont="1" applyFill="1" applyAlignment="1" applyProtection="1">
      <alignment horizontal="center" vertical="center"/>
      <protection locked="0"/>
    </xf>
    <xf numFmtId="0" fontId="8" fillId="3" borderId="0" xfId="0" applyFont="1" applyFill="1" applyAlignment="1">
      <alignment vertical="center"/>
    </xf>
    <xf numFmtId="0" fontId="11" fillId="3" borderId="0" xfId="0" applyFont="1" applyFill="1" applyAlignment="1">
      <alignment horizontal="center" vertical="center"/>
    </xf>
    <xf numFmtId="0" fontId="80" fillId="0" borderId="0" xfId="0" applyFont="1" applyBorder="1" applyAlignment="1">
      <alignment vertical="center" shrinkToFit="1"/>
    </xf>
    <xf numFmtId="0" fontId="81" fillId="0" borderId="0" xfId="0" applyFont="1"/>
    <xf numFmtId="0" fontId="80" fillId="0" borderId="0" xfId="0" applyFont="1" applyAlignment="1">
      <alignment horizontal="center" vertical="center" wrapText="1"/>
    </xf>
    <xf numFmtId="0" fontId="82" fillId="0" borderId="0" xfId="0" applyFont="1" applyBorder="1" applyAlignment="1">
      <alignment vertical="center" wrapText="1"/>
    </xf>
    <xf numFmtId="0" fontId="88" fillId="0" borderId="0" xfId="0" applyFont="1" applyBorder="1"/>
    <xf numFmtId="0" fontId="81" fillId="0" borderId="0" xfId="0" applyFont="1" applyBorder="1"/>
    <xf numFmtId="171" fontId="89" fillId="0" borderId="0" xfId="0" applyNumberFormat="1" applyFont="1" applyAlignment="1">
      <alignment horizontal="center" vertical="center"/>
    </xf>
    <xf numFmtId="0" fontId="90" fillId="0" borderId="0" xfId="0" applyFont="1" applyAlignment="1">
      <alignment vertical="center"/>
    </xf>
    <xf numFmtId="0" fontId="82" fillId="0" borderId="0" xfId="0" applyFont="1" applyBorder="1" applyAlignment="1">
      <alignment horizontal="left"/>
    </xf>
    <xf numFmtId="0" fontId="81" fillId="0" borderId="0" xfId="0" applyFont="1" applyBorder="1" applyAlignment="1">
      <alignment horizontal="left" vertical="center"/>
    </xf>
    <xf numFmtId="0" fontId="81" fillId="0" borderId="0" xfId="0" applyFont="1" applyBorder="1" applyAlignment="1">
      <alignment horizontal="left"/>
    </xf>
    <xf numFmtId="0" fontId="90" fillId="0" borderId="0" xfId="0" applyFont="1" applyFill="1" applyBorder="1" applyAlignment="1">
      <alignment horizontal="center" vertical="center"/>
    </xf>
    <xf numFmtId="166" fontId="90" fillId="0" borderId="0" xfId="1" applyNumberFormat="1" applyFont="1" applyBorder="1" applyAlignment="1">
      <alignment vertical="center"/>
    </xf>
    <xf numFmtId="0" fontId="92" fillId="0" borderId="0" xfId="0" applyFont="1" applyAlignment="1">
      <alignment horizontal="center"/>
    </xf>
    <xf numFmtId="0" fontId="81" fillId="0" borderId="0" xfId="0" applyFont="1" applyAlignment="1">
      <alignment horizontal="left" vertical="center"/>
    </xf>
    <xf numFmtId="0" fontId="81" fillId="0" borderId="0" xfId="0" applyFont="1" applyAlignment="1">
      <alignment horizontal="left"/>
    </xf>
    <xf numFmtId="166" fontId="90" fillId="0" borderId="0" xfId="1" applyNumberFormat="1" applyFont="1" applyAlignment="1">
      <alignment vertical="center"/>
    </xf>
    <xf numFmtId="0" fontId="82" fillId="0" borderId="0" xfId="0" applyFont="1" applyAlignment="1">
      <alignment horizontal="center"/>
    </xf>
    <xf numFmtId="0" fontId="89" fillId="0" borderId="0" xfId="0" applyFont="1"/>
    <xf numFmtId="0" fontId="89" fillId="0" borderId="0" xfId="0" applyFont="1" applyAlignment="1"/>
    <xf numFmtId="0" fontId="89" fillId="0" borderId="0" xfId="0" applyFont="1" applyAlignment="1">
      <alignment horizontal="center"/>
    </xf>
    <xf numFmtId="168" fontId="93" fillId="0" borderId="0" xfId="0" applyNumberFormat="1" applyFont="1" applyBorder="1" applyAlignment="1">
      <alignment horizontal="center"/>
    </xf>
    <xf numFmtId="0" fontId="92" fillId="0" borderId="0" xfId="0" applyFont="1"/>
    <xf numFmtId="0" fontId="93" fillId="0" borderId="0" xfId="0" applyFont="1" applyAlignment="1">
      <alignment horizontal="center"/>
    </xf>
    <xf numFmtId="175" fontId="94" fillId="0" borderId="0" xfId="0" applyNumberFormat="1" applyFont="1" applyAlignment="1">
      <alignment horizontal="right" vertical="center" indent="1"/>
    </xf>
    <xf numFmtId="171" fontId="89" fillId="0" borderId="0" xfId="0" applyNumberFormat="1" applyFont="1" applyAlignment="1">
      <alignment horizontal="center" vertical="center" shrinkToFit="1"/>
    </xf>
    <xf numFmtId="0" fontId="89" fillId="0" borderId="0" xfId="0" applyFont="1" applyAlignment="1">
      <alignment vertical="center" shrinkToFit="1"/>
    </xf>
    <xf numFmtId="172" fontId="89" fillId="0" borderId="0" xfId="0" applyNumberFormat="1" applyFont="1" applyAlignment="1">
      <alignment horizontal="center" vertical="center"/>
    </xf>
    <xf numFmtId="172" fontId="89" fillId="0" borderId="0" xfId="0" applyNumberFormat="1" applyFont="1" applyFill="1" applyAlignment="1">
      <alignment horizontal="center" vertical="center"/>
    </xf>
    <xf numFmtId="172" fontId="89" fillId="0" borderId="0" xfId="0" applyNumberFormat="1" applyFont="1" applyAlignment="1">
      <alignment horizontal="center" vertical="center" shrinkToFit="1"/>
    </xf>
    <xf numFmtId="172" fontId="90" fillId="0" borderId="0" xfId="1" applyNumberFormat="1" applyFont="1" applyAlignment="1">
      <alignment vertical="center"/>
    </xf>
    <xf numFmtId="171" fontId="95" fillId="0" borderId="0" xfId="0" applyNumberFormat="1" applyFont="1" applyAlignment="1">
      <alignment horizontal="right" vertical="center"/>
    </xf>
    <xf numFmtId="165" fontId="89" fillId="0" borderId="0" xfId="0" applyNumberFormat="1" applyFont="1" applyAlignment="1">
      <alignment horizontal="center" vertical="center"/>
    </xf>
    <xf numFmtId="0" fontId="92" fillId="0" borderId="0" xfId="0" applyFont="1" applyAlignment="1">
      <alignment horizontal="center" vertical="center"/>
    </xf>
    <xf numFmtId="172" fontId="89" fillId="0" borderId="0" xfId="0" applyNumberFormat="1" applyFont="1" applyAlignment="1">
      <alignment vertical="center"/>
    </xf>
    <xf numFmtId="0" fontId="69" fillId="0" borderId="17" xfId="0" applyFont="1" applyBorder="1"/>
    <xf numFmtId="0" fontId="72" fillId="0" borderId="17" xfId="0" applyFont="1" applyBorder="1" applyAlignment="1">
      <alignment vertical="center" wrapText="1"/>
    </xf>
    <xf numFmtId="0" fontId="72" fillId="0" borderId="17" xfId="0" applyFont="1" applyBorder="1" applyAlignment="1">
      <alignment horizontal="center" vertical="center" wrapText="1"/>
    </xf>
    <xf numFmtId="0" fontId="72" fillId="0" borderId="17" xfId="0" applyFont="1" applyBorder="1" applyAlignment="1"/>
    <xf numFmtId="0" fontId="72" fillId="0" borderId="17" xfId="0" applyFont="1" applyBorder="1" applyAlignment="1">
      <alignment wrapText="1"/>
    </xf>
    <xf numFmtId="0" fontId="84" fillId="0" borderId="16" xfId="0" applyFont="1" applyBorder="1" applyAlignment="1">
      <alignment horizontal="left" wrapText="1"/>
    </xf>
    <xf numFmtId="0" fontId="84" fillId="0" borderId="14" xfId="0" applyFont="1" applyBorder="1" applyAlignment="1">
      <alignment horizontal="left" wrapText="1"/>
    </xf>
    <xf numFmtId="0" fontId="87" fillId="0" borderId="0" xfId="0" applyFont="1" applyBorder="1" applyAlignment="1">
      <alignment horizontal="left" wrapText="1"/>
    </xf>
    <xf numFmtId="0" fontId="82" fillId="0" borderId="18" xfId="0" applyFont="1" applyBorder="1" applyAlignment="1">
      <alignment vertical="center" wrapText="1"/>
    </xf>
    <xf numFmtId="0" fontId="32" fillId="0" borderId="0" xfId="0" applyFont="1" applyBorder="1" applyAlignment="1">
      <alignment vertical="center" wrapText="1"/>
    </xf>
    <xf numFmtId="0" fontId="80" fillId="0" borderId="0" xfId="0" applyFont="1" applyAlignment="1"/>
    <xf numFmtId="0" fontId="96" fillId="0" borderId="0" xfId="0" applyFont="1" applyAlignment="1"/>
    <xf numFmtId="0" fontId="17" fillId="0" borderId="0" xfId="0" applyFont="1" applyAlignment="1" applyProtection="1">
      <alignment vertical="center"/>
      <protection locked="0"/>
    </xf>
    <xf numFmtId="0" fontId="45" fillId="0" borderId="19" xfId="0" applyFont="1" applyBorder="1" applyAlignment="1">
      <alignment horizontal="left" vertical="top" wrapText="1"/>
    </xf>
    <xf numFmtId="0" fontId="8" fillId="3" borderId="0" xfId="2436" applyFont="1" applyFill="1" applyAlignment="1">
      <alignment vertical="center"/>
    </xf>
    <xf numFmtId="0" fontId="4" fillId="0" borderId="20" xfId="0" applyFont="1" applyBorder="1"/>
    <xf numFmtId="0" fontId="5" fillId="0" borderId="0" xfId="0" applyFont="1" applyBorder="1"/>
    <xf numFmtId="0" fontId="5" fillId="0" borderId="13" xfId="0" applyFont="1" applyBorder="1"/>
    <xf numFmtId="0" fontId="98" fillId="0" borderId="0" xfId="0" applyFont="1" applyAlignment="1">
      <alignment horizontal="left" vertical="center" indent="1"/>
    </xf>
    <xf numFmtId="0" fontId="98" fillId="0" borderId="0" xfId="0" applyFont="1" applyAlignment="1">
      <alignment vertical="center"/>
    </xf>
    <xf numFmtId="0" fontId="98" fillId="0" borderId="0" xfId="0" applyFont="1"/>
    <xf numFmtId="0" fontId="98" fillId="0" borderId="22" xfId="0" applyFont="1" applyBorder="1" applyAlignment="1">
      <alignment vertical="center"/>
    </xf>
    <xf numFmtId="0" fontId="98" fillId="0" borderId="23" xfId="0" applyFont="1" applyBorder="1" applyAlignment="1">
      <alignment vertical="center"/>
    </xf>
    <xf numFmtId="0" fontId="98" fillId="0" borderId="24" xfId="0" applyFont="1" applyBorder="1" applyAlignment="1">
      <alignment vertical="center"/>
    </xf>
    <xf numFmtId="0" fontId="100" fillId="0" borderId="0" xfId="0" applyFont="1" applyAlignment="1"/>
    <xf numFmtId="0" fontId="100" fillId="0" borderId="0" xfId="0" applyFont="1" applyAlignment="1">
      <alignment vertical="top"/>
    </xf>
    <xf numFmtId="0" fontId="5" fillId="0" borderId="0" xfId="0" applyNumberFormat="1" applyFont="1"/>
    <xf numFmtId="0" fontId="102" fillId="0" borderId="0" xfId="0" applyFont="1" applyAlignment="1">
      <alignment horizontal="left" vertical="center" indent="1"/>
    </xf>
    <xf numFmtId="0" fontId="99" fillId="0" borderId="21" xfId="0" applyFont="1" applyBorder="1" applyAlignment="1" applyProtection="1">
      <alignment horizontal="center" vertical="center"/>
      <protection locked="0"/>
    </xf>
    <xf numFmtId="165" fontId="63" fillId="0" borderId="0" xfId="0" applyNumberFormat="1" applyFont="1" applyAlignment="1">
      <alignment horizontal="left" vertical="center" indent="1"/>
    </xf>
    <xf numFmtId="0" fontId="63" fillId="0" borderId="0" xfId="0" applyFont="1" applyAlignment="1">
      <alignment horizontal="left" vertical="top" indent="1"/>
    </xf>
    <xf numFmtId="168" fontId="93" fillId="0" borderId="0" xfId="0" applyNumberFormat="1" applyFont="1" applyBorder="1" applyAlignment="1">
      <alignment horizontal="center" shrinkToFit="1"/>
    </xf>
    <xf numFmtId="0" fontId="90" fillId="0" borderId="0" xfId="0" applyFont="1" applyAlignment="1">
      <alignment shrinkToFit="1"/>
    </xf>
    <xf numFmtId="0" fontId="89" fillId="0" borderId="0" xfId="0" applyFont="1" applyAlignment="1">
      <alignment shrinkToFit="1"/>
    </xf>
    <xf numFmtId="0" fontId="89" fillId="0" borderId="0" xfId="0" applyFont="1" applyFill="1" applyAlignment="1">
      <alignment horizontal="center" vertical="center" shrinkToFit="1"/>
    </xf>
    <xf numFmtId="166" fontId="90" fillId="0" borderId="0" xfId="1" applyNumberFormat="1" applyFont="1" applyAlignment="1">
      <alignment horizontal="center" vertical="center" shrinkToFit="1"/>
    </xf>
    <xf numFmtId="0" fontId="90" fillId="0" borderId="0" xfId="0" applyFont="1" applyAlignment="1">
      <alignment vertical="center" shrinkToFit="1"/>
    </xf>
    <xf numFmtId="0" fontId="90" fillId="0" borderId="0" xfId="0" applyFont="1" applyFill="1" applyBorder="1" applyAlignment="1">
      <alignment horizontal="center" vertical="center" shrinkToFit="1"/>
    </xf>
    <xf numFmtId="0" fontId="113" fillId="0" borderId="0" xfId="0" applyFont="1"/>
    <xf numFmtId="0" fontId="114" fillId="0" borderId="0" xfId="0" applyFont="1"/>
    <xf numFmtId="166" fontId="114" fillId="0" borderId="0" xfId="0" applyNumberFormat="1" applyFont="1"/>
    <xf numFmtId="166" fontId="114" fillId="0" borderId="0" xfId="0" applyNumberFormat="1" applyFont="1" applyAlignment="1">
      <alignment horizontal="right"/>
    </xf>
    <xf numFmtId="0" fontId="105" fillId="0" borderId="0" xfId="0" applyFont="1" applyAlignment="1">
      <alignment horizontal="right" wrapText="1" shrinkToFit="1"/>
    </xf>
    <xf numFmtId="0" fontId="54" fillId="0" borderId="0" xfId="0" applyFont="1" applyAlignment="1">
      <alignment horizontal="right" vertical="top" wrapText="1" shrinkToFit="1"/>
    </xf>
    <xf numFmtId="0" fontId="11" fillId="3" borderId="0" xfId="0" applyFont="1" applyFill="1" applyAlignment="1" applyProtection="1">
      <alignment horizontal="center" vertical="center"/>
      <protection locked="0"/>
    </xf>
    <xf numFmtId="0" fontId="8" fillId="3" borderId="0" xfId="2436" applyFont="1" applyFill="1" applyAlignment="1" applyProtection="1">
      <alignment horizontal="center" vertical="center"/>
      <protection locked="0"/>
    </xf>
    <xf numFmtId="0" fontId="53" fillId="0" borderId="0" xfId="2436" applyFont="1" applyBorder="1" applyAlignment="1">
      <alignment horizontal="left" vertical="center" wrapText="1"/>
    </xf>
    <xf numFmtId="0" fontId="53" fillId="0" borderId="0" xfId="2436" applyFont="1" applyAlignment="1">
      <alignment horizontal="left" vertical="top" wrapText="1"/>
    </xf>
    <xf numFmtId="0" fontId="55" fillId="3" borderId="0" xfId="0" applyFont="1" applyFill="1" applyAlignment="1">
      <alignment horizontal="left" vertical="top" wrapText="1" indent="1"/>
    </xf>
    <xf numFmtId="9" fontId="46" fillId="0" borderId="0" xfId="238" applyFont="1" applyAlignment="1">
      <alignment horizontal="right" vertical="center"/>
    </xf>
    <xf numFmtId="0" fontId="48" fillId="0" borderId="0" xfId="0" applyFont="1" applyAlignment="1">
      <alignment horizontal="left" vertical="center" wrapText="1" indent="1" shrinkToFit="1"/>
    </xf>
    <xf numFmtId="3" fontId="47" fillId="0" borderId="0" xfId="1" applyNumberFormat="1" applyFont="1" applyAlignment="1">
      <alignment horizontal="right" vertical="center" shrinkToFit="1"/>
    </xf>
    <xf numFmtId="0" fontId="103" fillId="0" borderId="0" xfId="0" applyFont="1" applyAlignment="1" applyProtection="1">
      <alignment horizontal="left" shrinkToFit="1"/>
      <protection locked="0"/>
    </xf>
    <xf numFmtId="3" fontId="97" fillId="0" borderId="0" xfId="1" applyNumberFormat="1" applyFont="1" applyAlignment="1">
      <alignment horizontal="right" vertical="center"/>
    </xf>
    <xf numFmtId="0" fontId="84" fillId="0" borderId="0" xfId="0" applyFont="1" applyAlignment="1">
      <alignment horizontal="left" vertical="top" wrapText="1"/>
    </xf>
    <xf numFmtId="3" fontId="47" fillId="0" borderId="0" xfId="1" applyNumberFormat="1" applyFont="1" applyAlignment="1">
      <alignment horizontal="right" vertical="center" wrapText="1" shrinkToFit="1"/>
    </xf>
    <xf numFmtId="0" fontId="27" fillId="0" borderId="0" xfId="0" applyFont="1" applyBorder="1" applyAlignment="1">
      <alignment horizontal="left" vertical="top" wrapText="1"/>
    </xf>
    <xf numFmtId="0" fontId="106" fillId="0" borderId="0" xfId="0" applyFont="1" applyBorder="1" applyAlignment="1">
      <alignment horizontal="left" vertical="top" wrapText="1"/>
    </xf>
    <xf numFmtId="0" fontId="116" fillId="0" borderId="0" xfId="0" applyFont="1" applyAlignment="1">
      <alignment horizontal="left" vertical="top" wrapText="1"/>
    </xf>
    <xf numFmtId="0" fontId="40" fillId="0" borderId="0" xfId="0" applyFont="1" applyAlignment="1">
      <alignment horizontal="left" vertical="top" wrapText="1"/>
    </xf>
    <xf numFmtId="0" fontId="40" fillId="0" borderId="0" xfId="0" applyFont="1" applyBorder="1" applyAlignment="1">
      <alignment horizontal="left" vertical="top" wrapText="1"/>
    </xf>
    <xf numFmtId="0" fontId="79" fillId="0" borderId="0" xfId="0" applyFont="1" applyBorder="1" applyAlignment="1" applyProtection="1">
      <alignment horizontal="right" vertical="center" wrapText="1"/>
      <protection locked="0"/>
    </xf>
    <xf numFmtId="0" fontId="101" fillId="0" borderId="0" xfId="0" applyFont="1" applyAlignment="1" applyProtection="1">
      <alignment horizontal="left" vertical="top" wrapText="1"/>
      <protection locked="0"/>
    </xf>
    <xf numFmtId="0" fontId="52" fillId="0" borderId="0" xfId="0" applyFont="1" applyAlignment="1">
      <alignment horizontal="left" vertical="center" shrinkToFit="1"/>
    </xf>
    <xf numFmtId="0" fontId="85" fillId="0" borderId="0" xfId="0" applyFont="1" applyAlignment="1">
      <alignment horizontal="left" vertical="center" indent="1" shrinkToFit="1"/>
    </xf>
    <xf numFmtId="0" fontId="72" fillId="0" borderId="0" xfId="0" applyFont="1" applyBorder="1" applyAlignment="1">
      <alignment horizontal="center" wrapText="1" shrinkToFit="1"/>
    </xf>
    <xf numFmtId="0" fontId="74" fillId="0" borderId="0" xfId="0" applyFont="1" applyFill="1" applyAlignment="1">
      <alignment horizontal="center" vertical="center"/>
    </xf>
    <xf numFmtId="0" fontId="89" fillId="0" borderId="0" xfId="0" applyFont="1" applyBorder="1" applyAlignment="1">
      <alignment horizontal="center" shrinkToFit="1"/>
    </xf>
    <xf numFmtId="0" fontId="91" fillId="0" borderId="0" xfId="0" applyFont="1" applyAlignment="1">
      <alignment horizontal="left" wrapText="1"/>
    </xf>
    <xf numFmtId="0" fontId="31" fillId="0" borderId="0" xfId="0" applyFont="1" applyAlignment="1">
      <alignment horizontal="left" vertical="top" wrapText="1" shrinkToFit="1"/>
    </xf>
    <xf numFmtId="171" fontId="78" fillId="0" borderId="0" xfId="0" applyNumberFormat="1" applyFont="1" applyAlignment="1">
      <alignment horizontal="center" vertical="center" shrinkToFit="1"/>
    </xf>
    <xf numFmtId="171" fontId="35" fillId="3" borderId="0" xfId="0" applyNumberFormat="1" applyFont="1" applyFill="1" applyAlignment="1">
      <alignment horizontal="center" shrinkToFit="1"/>
    </xf>
    <xf numFmtId="0" fontId="111" fillId="0" borderId="0" xfId="0" applyFont="1" applyBorder="1" applyAlignment="1">
      <alignment horizontal="left" wrapText="1"/>
    </xf>
    <xf numFmtId="0" fontId="67" fillId="0" borderId="0" xfId="0" applyFont="1" applyBorder="1" applyAlignment="1">
      <alignment horizontal="left" wrapText="1"/>
    </xf>
    <xf numFmtId="0" fontId="72" fillId="0" borderId="0" xfId="0" applyFont="1" applyBorder="1" applyAlignment="1">
      <alignment horizontal="left" wrapText="1"/>
    </xf>
    <xf numFmtId="0" fontId="63" fillId="0" borderId="0" xfId="0" applyFont="1" applyBorder="1" applyAlignment="1">
      <alignment horizontal="left" wrapText="1"/>
    </xf>
    <xf numFmtId="0" fontId="63" fillId="0" borderId="0" xfId="0" applyFont="1" applyBorder="1" applyAlignment="1">
      <alignment horizontal="left" wrapText="1" shrinkToFit="1"/>
    </xf>
    <xf numFmtId="0" fontId="83" fillId="0" borderId="0" xfId="0" applyFont="1" applyBorder="1" applyAlignment="1">
      <alignment horizontal="left" wrapText="1"/>
    </xf>
    <xf numFmtId="0" fontId="80" fillId="0" borderId="0" xfId="0" applyFont="1" applyBorder="1" applyAlignment="1">
      <alignment horizontal="left" vertical="center" shrinkToFit="1"/>
    </xf>
    <xf numFmtId="0" fontId="80" fillId="0" borderId="15" xfId="0" applyFont="1" applyBorder="1" applyAlignment="1">
      <alignment horizontal="left" vertical="center" shrinkToFit="1"/>
    </xf>
    <xf numFmtId="0" fontId="62" fillId="0" borderId="0" xfId="0" applyFont="1" applyAlignment="1">
      <alignment horizontal="left" vertical="top" wrapText="1"/>
    </xf>
    <xf numFmtId="0" fontId="58" fillId="0" borderId="0" xfId="0" applyFont="1" applyBorder="1" applyAlignment="1" applyProtection="1">
      <alignment horizontal="left" vertical="top" wrapText="1"/>
      <protection locked="0"/>
    </xf>
    <xf numFmtId="0" fontId="72" fillId="0" borderId="0" xfId="0" applyFont="1" applyAlignment="1">
      <alignment horizontal="center" wrapText="1"/>
    </xf>
    <xf numFmtId="0" fontId="72" fillId="0" borderId="0" xfId="0" applyFont="1" applyAlignment="1">
      <alignment horizontal="center" vertical="center" wrapText="1"/>
    </xf>
    <xf numFmtId="0" fontId="85" fillId="0" borderId="0" xfId="0" quotePrefix="1" applyFont="1" applyBorder="1" applyAlignment="1">
      <alignment horizontal="left" wrapText="1"/>
    </xf>
    <xf numFmtId="0" fontId="97" fillId="0" borderId="0" xfId="0" applyFont="1" applyBorder="1" applyAlignment="1">
      <alignment horizontal="left" wrapText="1"/>
    </xf>
    <xf numFmtId="0" fontId="36" fillId="0" borderId="0" xfId="0" applyFont="1" applyAlignment="1">
      <alignment horizontal="center" vertical="top"/>
    </xf>
    <xf numFmtId="165" fontId="89" fillId="0" borderId="0" xfId="0" applyNumberFormat="1" applyFont="1" applyAlignment="1">
      <alignment horizontal="right" vertical="center" textRotation="90" wrapText="1"/>
    </xf>
    <xf numFmtId="0" fontId="86" fillId="0" borderId="0" xfId="0" applyFont="1" applyBorder="1" applyAlignment="1">
      <alignment horizontal="center"/>
    </xf>
    <xf numFmtId="0" fontId="92" fillId="0" borderId="0" xfId="0" applyFont="1" applyAlignment="1">
      <alignment horizontal="center" vertical="center"/>
    </xf>
    <xf numFmtId="171" fontId="89" fillId="0" borderId="0" xfId="0" applyNumberFormat="1" applyFont="1" applyAlignment="1">
      <alignment horizontal="center" vertical="center"/>
    </xf>
    <xf numFmtId="0" fontId="85" fillId="0" borderId="0" xfId="0" applyFont="1" applyBorder="1" applyAlignment="1">
      <alignment wrapText="1"/>
    </xf>
    <xf numFmtId="0" fontId="82" fillId="0" borderId="0" xfId="0" quotePrefix="1" applyFont="1" applyBorder="1" applyAlignment="1">
      <alignment horizontal="left" wrapText="1"/>
    </xf>
    <xf numFmtId="167" fontId="58" fillId="0" borderId="0" xfId="1" applyNumberFormat="1" applyFont="1" applyBorder="1" applyAlignment="1" applyProtection="1">
      <alignment horizontal="center" vertical="center" shrinkToFit="1"/>
      <protection locked="0"/>
    </xf>
    <xf numFmtId="0" fontId="110" fillId="0" borderId="0" xfId="0" applyFont="1" applyAlignment="1">
      <alignment horizontal="center" vertical="center" wrapText="1"/>
    </xf>
    <xf numFmtId="173" fontId="58" fillId="0" borderId="0" xfId="0" applyNumberFormat="1" applyFont="1" applyBorder="1" applyAlignment="1" applyProtection="1">
      <alignment horizontal="right" vertical="center"/>
      <protection locked="0"/>
    </xf>
    <xf numFmtId="167" fontId="24" fillId="0" borderId="0" xfId="1" applyNumberFormat="1" applyFont="1" applyAlignment="1">
      <alignment horizontal="center" vertical="center" shrinkToFit="1"/>
    </xf>
    <xf numFmtId="0" fontId="112" fillId="0" borderId="0" xfId="0" applyFont="1" applyBorder="1" applyAlignment="1">
      <alignment horizontal="left" vertical="top" wrapText="1"/>
    </xf>
    <xf numFmtId="0" fontId="112" fillId="0" borderId="15" xfId="0" applyFont="1" applyBorder="1" applyAlignment="1">
      <alignment horizontal="left" vertical="top" wrapText="1"/>
    </xf>
    <xf numFmtId="0" fontId="71" fillId="0" borderId="0" xfId="0" applyFont="1" applyBorder="1" applyAlignment="1" applyProtection="1">
      <alignment horizontal="left" vertical="top" shrinkToFit="1"/>
      <protection locked="0"/>
    </xf>
    <xf numFmtId="0" fontId="62" fillId="0" borderId="0" xfId="0" applyFont="1" applyBorder="1" applyAlignment="1">
      <alignment horizontal="left" vertical="top" wrapText="1" shrinkToFit="1"/>
    </xf>
    <xf numFmtId="0" fontId="62" fillId="0" borderId="13" xfId="0" applyFont="1" applyBorder="1" applyAlignment="1">
      <alignment horizontal="left" vertical="top" wrapText="1" shrinkToFit="1"/>
    </xf>
    <xf numFmtId="172" fontId="35" fillId="3" borderId="0" xfId="0" applyNumberFormat="1" applyFont="1" applyFill="1" applyAlignment="1">
      <alignment horizontal="center" vertical="center" shrinkToFit="1"/>
    </xf>
    <xf numFmtId="0" fontId="11" fillId="3" borderId="0" xfId="0" applyFont="1" applyFill="1" applyAlignment="1">
      <alignment horizontal="center" vertical="top"/>
    </xf>
    <xf numFmtId="174" fontId="35" fillId="3" borderId="0" xfId="0" applyNumberFormat="1" applyFont="1" applyFill="1" applyAlignment="1">
      <alignment horizontal="center" shrinkToFit="1"/>
    </xf>
    <xf numFmtId="173" fontId="10" fillId="0" borderId="0" xfId="0" applyNumberFormat="1" applyFont="1" applyBorder="1" applyAlignment="1">
      <alignment horizontal="center" vertical="center" shrinkToFit="1"/>
    </xf>
    <xf numFmtId="0" fontId="63" fillId="0" borderId="0" xfId="0" applyFont="1" applyBorder="1" applyAlignment="1">
      <alignment horizontal="left" vertical="center" wrapText="1"/>
    </xf>
    <xf numFmtId="0" fontId="63" fillId="0" borderId="16" xfId="0" applyFont="1" applyBorder="1" applyAlignment="1">
      <alignment horizontal="left" vertical="center" wrapText="1"/>
    </xf>
    <xf numFmtId="0" fontId="64" fillId="0" borderId="0" xfId="0" applyFont="1" applyBorder="1" applyAlignment="1">
      <alignment horizontal="left" vertical="center" wrapText="1"/>
    </xf>
    <xf numFmtId="0" fontId="62" fillId="0" borderId="0" xfId="0" applyFont="1" applyBorder="1" applyAlignment="1">
      <alignment horizontal="left" vertical="top" wrapText="1"/>
    </xf>
    <xf numFmtId="0" fontId="62" fillId="0" borderId="11" xfId="0" applyFont="1" applyBorder="1" applyAlignment="1">
      <alignment horizontal="left" vertical="top" wrapText="1"/>
    </xf>
    <xf numFmtId="0" fontId="62" fillId="0" borderId="13" xfId="0" applyFont="1" applyBorder="1" applyAlignment="1">
      <alignment horizontal="left" vertical="top" wrapText="1"/>
    </xf>
    <xf numFmtId="165" fontId="73" fillId="0" borderId="0" xfId="0" applyNumberFormat="1" applyFont="1" applyAlignment="1">
      <alignment horizontal="right" vertical="center" textRotation="90" wrapText="1"/>
    </xf>
    <xf numFmtId="165" fontId="73" fillId="0" borderId="0" xfId="0" applyNumberFormat="1" applyFont="1" applyAlignment="1">
      <alignment horizontal="right" vertical="center" textRotation="90"/>
    </xf>
    <xf numFmtId="3" fontId="57" fillId="0" borderId="0" xfId="1" applyNumberFormat="1" applyFont="1" applyBorder="1" applyAlignment="1" applyProtection="1">
      <alignment horizontal="right" vertical="center"/>
      <protection locked="0"/>
    </xf>
    <xf numFmtId="0" fontId="70" fillId="0" borderId="0" xfId="0" applyFont="1" applyAlignment="1">
      <alignment horizontal="left" vertical="top" wrapText="1" indent="1"/>
    </xf>
    <xf numFmtId="170" fontId="24" fillId="0" borderId="0" xfId="0" applyNumberFormat="1" applyFont="1" applyAlignment="1">
      <alignment horizontal="center" vertical="center"/>
    </xf>
    <xf numFmtId="0" fontId="87" fillId="0" borderId="0" xfId="0" applyFont="1" applyBorder="1" applyAlignment="1">
      <alignment horizontal="left" wrapText="1"/>
    </xf>
    <xf numFmtId="0" fontId="82" fillId="0" borderId="0" xfId="0" applyFont="1" applyBorder="1" applyAlignment="1">
      <alignment horizontal="left" vertical="center" wrapText="1"/>
    </xf>
    <xf numFmtId="0" fontId="83" fillId="0" borderId="0" xfId="0" applyFont="1" applyBorder="1" applyAlignment="1">
      <alignment horizontal="left" vertical="center" wrapText="1"/>
    </xf>
    <xf numFmtId="0" fontId="89" fillId="0" borderId="0" xfId="0" applyFont="1" applyAlignment="1">
      <alignment horizontal="center"/>
    </xf>
    <xf numFmtId="0" fontId="11" fillId="3" borderId="0" xfId="0" applyFont="1" applyFill="1" applyAlignment="1">
      <alignment horizontal="center" vertical="top" wrapText="1"/>
    </xf>
    <xf numFmtId="0" fontId="11" fillId="3" borderId="4" xfId="0" applyFont="1" applyFill="1" applyBorder="1" applyAlignment="1">
      <alignment horizontal="center" vertical="top" wrapText="1"/>
    </xf>
    <xf numFmtId="167" fontId="65" fillId="0" borderId="0" xfId="0" applyNumberFormat="1" applyFont="1" applyAlignment="1">
      <alignment horizontal="right" vertical="top" shrinkToFit="1"/>
    </xf>
    <xf numFmtId="10" fontId="59" fillId="0" borderId="0" xfId="238" applyNumberFormat="1" applyFont="1" applyBorder="1" applyAlignment="1" applyProtection="1">
      <alignment horizontal="right" vertical="top" shrinkToFit="1"/>
      <protection locked="0"/>
    </xf>
    <xf numFmtId="0" fontId="73" fillId="0" borderId="0" xfId="0" applyFont="1" applyBorder="1" applyAlignment="1">
      <alignment horizontal="center"/>
    </xf>
    <xf numFmtId="0" fontId="93" fillId="0" borderId="0" xfId="0" applyFont="1" applyAlignment="1">
      <alignment horizontal="center"/>
    </xf>
    <xf numFmtId="164" fontId="115" fillId="0" borderId="0" xfId="0" applyNumberFormat="1" applyFont="1" applyBorder="1" applyAlignment="1" applyProtection="1">
      <alignment horizontal="right" vertical="top" shrinkToFit="1"/>
      <protection locked="0"/>
    </xf>
    <xf numFmtId="164" fontId="61" fillId="0" borderId="0" xfId="0" applyNumberFormat="1" applyFont="1" applyBorder="1" applyAlignment="1" applyProtection="1">
      <alignment horizontal="right" vertical="top" shrinkToFit="1"/>
      <protection locked="0"/>
    </xf>
  </cellXfs>
  <cellStyles count="2487">
    <cellStyle name="Comma" xfId="1" builtinId="3"/>
    <cellStyle name="Comma 2" xfId="1625"/>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27" builtinId="9" hidden="1"/>
    <cellStyle name="Followed Hyperlink" xfId="229" builtinId="9" hidden="1"/>
    <cellStyle name="Followed Hyperlink" xfId="231" builtinId="9" hidden="1"/>
    <cellStyle name="Followed Hyperlink" xfId="233" builtinId="9" hidden="1"/>
    <cellStyle name="Followed Hyperlink" xfId="235" builtinId="9" hidden="1"/>
    <cellStyle name="Followed Hyperlink" xfId="237"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Followed Hyperlink" xfId="660" builtinId="9" hidden="1"/>
    <cellStyle name="Followed Hyperlink" xfId="662" builtinId="9" hidden="1"/>
    <cellStyle name="Followed Hyperlink" xfId="664" builtinId="9" hidden="1"/>
    <cellStyle name="Followed Hyperlink" xfId="666" builtinId="9" hidden="1"/>
    <cellStyle name="Followed Hyperlink" xfId="668"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Followed Hyperlink" xfId="730" builtinId="9" hidden="1"/>
    <cellStyle name="Followed Hyperlink" xfId="732" builtinId="9" hidden="1"/>
    <cellStyle name="Followed Hyperlink" xfId="734" builtinId="9" hidden="1"/>
    <cellStyle name="Followed Hyperlink" xfId="736" builtinId="9" hidden="1"/>
    <cellStyle name="Followed Hyperlink" xfId="738" builtinId="9" hidden="1"/>
    <cellStyle name="Followed Hyperlink" xfId="740" builtinId="9" hidden="1"/>
    <cellStyle name="Followed Hyperlink" xfId="742" builtinId="9" hidden="1"/>
    <cellStyle name="Followed Hyperlink" xfId="744" builtinId="9" hidden="1"/>
    <cellStyle name="Followed Hyperlink" xfId="746" builtinId="9" hidden="1"/>
    <cellStyle name="Followed Hyperlink" xfId="748" builtinId="9" hidden="1"/>
    <cellStyle name="Followed Hyperlink" xfId="750" builtinId="9" hidden="1"/>
    <cellStyle name="Followed Hyperlink" xfId="752" builtinId="9" hidden="1"/>
    <cellStyle name="Followed Hyperlink" xfId="754" builtinId="9" hidden="1"/>
    <cellStyle name="Followed Hyperlink" xfId="756" builtinId="9" hidden="1"/>
    <cellStyle name="Followed Hyperlink" xfId="758" builtinId="9" hidden="1"/>
    <cellStyle name="Followed Hyperlink" xfId="760" builtinId="9" hidden="1"/>
    <cellStyle name="Followed Hyperlink" xfId="762" builtinId="9" hidden="1"/>
    <cellStyle name="Followed Hyperlink" xfId="764" builtinId="9" hidden="1"/>
    <cellStyle name="Followed Hyperlink" xfId="766" builtinId="9" hidden="1"/>
    <cellStyle name="Followed Hyperlink" xfId="768" builtinId="9" hidden="1"/>
    <cellStyle name="Followed Hyperlink" xfId="770" builtinId="9" hidden="1"/>
    <cellStyle name="Followed Hyperlink" xfId="772" builtinId="9" hidden="1"/>
    <cellStyle name="Followed Hyperlink" xfId="774" builtinId="9" hidden="1"/>
    <cellStyle name="Followed Hyperlink" xfId="776" builtinId="9" hidden="1"/>
    <cellStyle name="Followed Hyperlink" xfId="778" builtinId="9" hidden="1"/>
    <cellStyle name="Followed Hyperlink" xfId="780" builtinId="9" hidden="1"/>
    <cellStyle name="Followed Hyperlink" xfId="782" builtinId="9" hidden="1"/>
    <cellStyle name="Followed Hyperlink" xfId="784" builtinId="9" hidden="1"/>
    <cellStyle name="Followed Hyperlink" xfId="786" builtinId="9" hidden="1"/>
    <cellStyle name="Followed Hyperlink" xfId="788" builtinId="9" hidden="1"/>
    <cellStyle name="Followed Hyperlink" xfId="790" builtinId="9" hidden="1"/>
    <cellStyle name="Followed Hyperlink" xfId="792" builtinId="9" hidden="1"/>
    <cellStyle name="Followed Hyperlink" xfId="794" builtinId="9" hidden="1"/>
    <cellStyle name="Followed Hyperlink" xfId="796" builtinId="9" hidden="1"/>
    <cellStyle name="Followed Hyperlink" xfId="798" builtinId="9" hidden="1"/>
    <cellStyle name="Followed Hyperlink" xfId="800" builtinId="9" hidden="1"/>
    <cellStyle name="Followed Hyperlink" xfId="802" builtinId="9" hidden="1"/>
    <cellStyle name="Followed Hyperlink" xfId="804" builtinId="9" hidden="1"/>
    <cellStyle name="Followed Hyperlink" xfId="806"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0"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1026" builtinId="9" hidden="1"/>
    <cellStyle name="Followed Hyperlink" xfId="1028" builtinId="9" hidden="1"/>
    <cellStyle name="Followed Hyperlink" xfId="1030" builtinId="9" hidden="1"/>
    <cellStyle name="Followed Hyperlink" xfId="1032" builtinId="9" hidden="1"/>
    <cellStyle name="Followed Hyperlink" xfId="1034" builtinId="9" hidden="1"/>
    <cellStyle name="Followed Hyperlink" xfId="1036" builtinId="9" hidden="1"/>
    <cellStyle name="Followed Hyperlink" xfId="1038" builtinId="9" hidden="1"/>
    <cellStyle name="Followed Hyperlink" xfId="1040" builtinId="9" hidden="1"/>
    <cellStyle name="Followed Hyperlink" xfId="1042" builtinId="9" hidden="1"/>
    <cellStyle name="Followed Hyperlink" xfId="1044" builtinId="9" hidden="1"/>
    <cellStyle name="Followed Hyperlink" xfId="1046" builtinId="9" hidden="1"/>
    <cellStyle name="Followed Hyperlink" xfId="1048" builtinId="9" hidden="1"/>
    <cellStyle name="Followed Hyperlink" xfId="1050" builtinId="9" hidden="1"/>
    <cellStyle name="Followed Hyperlink" xfId="1052" builtinId="9" hidden="1"/>
    <cellStyle name="Followed Hyperlink" xfId="1054" builtinId="9" hidden="1"/>
    <cellStyle name="Followed Hyperlink" xfId="1056" builtinId="9" hidden="1"/>
    <cellStyle name="Followed Hyperlink" xfId="1058" builtinId="9" hidden="1"/>
    <cellStyle name="Followed Hyperlink" xfId="1060" builtinId="9" hidden="1"/>
    <cellStyle name="Followed Hyperlink" xfId="1062" builtinId="9" hidden="1"/>
    <cellStyle name="Followed Hyperlink" xfId="1064" builtinId="9" hidden="1"/>
    <cellStyle name="Followed Hyperlink" xfId="1066" builtinId="9" hidden="1"/>
    <cellStyle name="Followed Hyperlink" xfId="1068" builtinId="9" hidden="1"/>
    <cellStyle name="Followed Hyperlink" xfId="1070" builtinId="9" hidden="1"/>
    <cellStyle name="Followed Hyperlink" xfId="1072" builtinId="9" hidden="1"/>
    <cellStyle name="Followed Hyperlink" xfId="1074" builtinId="9" hidden="1"/>
    <cellStyle name="Followed Hyperlink" xfId="1076" builtinId="9" hidden="1"/>
    <cellStyle name="Followed Hyperlink" xfId="1078" builtinId="9" hidden="1"/>
    <cellStyle name="Followed Hyperlink" xfId="1080" builtinId="9" hidden="1"/>
    <cellStyle name="Followed Hyperlink" xfId="1082" builtinId="9" hidden="1"/>
    <cellStyle name="Followed Hyperlink" xfId="1084" builtinId="9" hidden="1"/>
    <cellStyle name="Followed Hyperlink" xfId="1086" builtinId="9" hidden="1"/>
    <cellStyle name="Followed Hyperlink" xfId="1088" builtinId="9" hidden="1"/>
    <cellStyle name="Followed Hyperlink" xfId="1090" builtinId="9" hidden="1"/>
    <cellStyle name="Followed Hyperlink" xfId="1092" builtinId="9" hidden="1"/>
    <cellStyle name="Followed Hyperlink" xfId="1094" builtinId="9" hidden="1"/>
    <cellStyle name="Followed Hyperlink" xfId="1096" builtinId="9" hidden="1"/>
    <cellStyle name="Followed Hyperlink" xfId="1098" builtinId="9" hidden="1"/>
    <cellStyle name="Followed Hyperlink" xfId="1100" builtinId="9" hidden="1"/>
    <cellStyle name="Followed Hyperlink" xfId="1102" builtinId="9" hidden="1"/>
    <cellStyle name="Followed Hyperlink" xfId="1104" builtinId="9" hidden="1"/>
    <cellStyle name="Followed Hyperlink" xfId="1106" builtinId="9" hidden="1"/>
    <cellStyle name="Followed Hyperlink" xfId="1108" builtinId="9" hidden="1"/>
    <cellStyle name="Followed Hyperlink" xfId="1110" builtinId="9" hidden="1"/>
    <cellStyle name="Followed Hyperlink" xfId="1112" builtinId="9" hidden="1"/>
    <cellStyle name="Followed Hyperlink" xfId="1114" builtinId="9" hidden="1"/>
    <cellStyle name="Followed Hyperlink" xfId="1116" builtinId="9" hidden="1"/>
    <cellStyle name="Followed Hyperlink" xfId="1118" builtinId="9" hidden="1"/>
    <cellStyle name="Followed Hyperlink" xfId="1120" builtinId="9" hidden="1"/>
    <cellStyle name="Followed Hyperlink" xfId="1122" builtinId="9" hidden="1"/>
    <cellStyle name="Followed Hyperlink" xfId="1124" builtinId="9" hidden="1"/>
    <cellStyle name="Followed Hyperlink" xfId="1126" builtinId="9" hidden="1"/>
    <cellStyle name="Followed Hyperlink" xfId="1128" builtinId="9" hidden="1"/>
    <cellStyle name="Followed Hyperlink" xfId="1130" builtinId="9" hidden="1"/>
    <cellStyle name="Followed Hyperlink" xfId="1132" builtinId="9" hidden="1"/>
    <cellStyle name="Followed Hyperlink" xfId="1134" builtinId="9" hidden="1"/>
    <cellStyle name="Followed Hyperlink" xfId="1136" builtinId="9" hidden="1"/>
    <cellStyle name="Followed Hyperlink" xfId="1138" builtinId="9" hidden="1"/>
    <cellStyle name="Followed Hyperlink" xfId="1140" builtinId="9" hidden="1"/>
    <cellStyle name="Followed Hyperlink" xfId="1142" builtinId="9" hidden="1"/>
    <cellStyle name="Followed Hyperlink" xfId="1144" builtinId="9" hidden="1"/>
    <cellStyle name="Followed Hyperlink" xfId="1146" builtinId="9" hidden="1"/>
    <cellStyle name="Followed Hyperlink" xfId="1148" builtinId="9" hidden="1"/>
    <cellStyle name="Followed Hyperlink" xfId="1150" builtinId="9" hidden="1"/>
    <cellStyle name="Followed Hyperlink" xfId="1152" builtinId="9" hidden="1"/>
    <cellStyle name="Followed Hyperlink" xfId="1154" builtinId="9" hidden="1"/>
    <cellStyle name="Followed Hyperlink" xfId="1156" builtinId="9" hidden="1"/>
    <cellStyle name="Followed Hyperlink" xfId="1158" builtinId="9" hidden="1"/>
    <cellStyle name="Followed Hyperlink" xfId="1160" builtinId="9" hidden="1"/>
    <cellStyle name="Followed Hyperlink" xfId="1162" builtinId="9" hidden="1"/>
    <cellStyle name="Followed Hyperlink" xfId="1164" builtinId="9" hidden="1"/>
    <cellStyle name="Followed Hyperlink" xfId="1166" builtinId="9" hidden="1"/>
    <cellStyle name="Followed Hyperlink" xfId="1168" builtinId="9" hidden="1"/>
    <cellStyle name="Followed Hyperlink" xfId="1170" builtinId="9" hidden="1"/>
    <cellStyle name="Followed Hyperlink" xfId="1172" builtinId="9" hidden="1"/>
    <cellStyle name="Followed Hyperlink" xfId="1174" builtinId="9" hidden="1"/>
    <cellStyle name="Followed Hyperlink" xfId="1176" builtinId="9" hidden="1"/>
    <cellStyle name="Followed Hyperlink" xfId="1178" builtinId="9" hidden="1"/>
    <cellStyle name="Followed Hyperlink" xfId="1180" builtinId="9" hidden="1"/>
    <cellStyle name="Followed Hyperlink" xfId="1182" builtinId="9" hidden="1"/>
    <cellStyle name="Followed Hyperlink" xfId="1184" builtinId="9" hidden="1"/>
    <cellStyle name="Followed Hyperlink" xfId="1186" builtinId="9" hidden="1"/>
    <cellStyle name="Followed Hyperlink" xfId="1188" builtinId="9" hidden="1"/>
    <cellStyle name="Followed Hyperlink" xfId="1190" builtinId="9" hidden="1"/>
    <cellStyle name="Followed Hyperlink" xfId="1192" builtinId="9" hidden="1"/>
    <cellStyle name="Followed Hyperlink" xfId="1194" builtinId="9" hidden="1"/>
    <cellStyle name="Followed Hyperlink" xfId="1196" builtinId="9" hidden="1"/>
    <cellStyle name="Followed Hyperlink" xfId="1198" builtinId="9" hidden="1"/>
    <cellStyle name="Followed Hyperlink" xfId="1200" builtinId="9" hidden="1"/>
    <cellStyle name="Followed Hyperlink" xfId="1202" builtinId="9" hidden="1"/>
    <cellStyle name="Followed Hyperlink" xfId="1204" builtinId="9" hidden="1"/>
    <cellStyle name="Followed Hyperlink" xfId="1206" builtinId="9" hidden="1"/>
    <cellStyle name="Followed Hyperlink" xfId="1208" builtinId="9" hidden="1"/>
    <cellStyle name="Followed Hyperlink" xfId="1210" builtinId="9" hidden="1"/>
    <cellStyle name="Followed Hyperlink" xfId="1212" builtinId="9" hidden="1"/>
    <cellStyle name="Followed Hyperlink" xfId="1214" builtinId="9" hidden="1"/>
    <cellStyle name="Followed Hyperlink" xfId="1216" builtinId="9" hidden="1"/>
    <cellStyle name="Followed Hyperlink" xfId="1218" builtinId="9" hidden="1"/>
    <cellStyle name="Followed Hyperlink" xfId="1220" builtinId="9" hidden="1"/>
    <cellStyle name="Followed Hyperlink" xfId="1222" builtinId="9" hidden="1"/>
    <cellStyle name="Followed Hyperlink" xfId="1224" builtinId="9" hidden="1"/>
    <cellStyle name="Followed Hyperlink" xfId="1226" builtinId="9" hidden="1"/>
    <cellStyle name="Followed Hyperlink" xfId="1228" builtinId="9" hidden="1"/>
    <cellStyle name="Followed Hyperlink" xfId="1230" builtinId="9" hidden="1"/>
    <cellStyle name="Followed Hyperlink" xfId="1232" builtinId="9" hidden="1"/>
    <cellStyle name="Followed Hyperlink" xfId="1234" builtinId="9" hidden="1"/>
    <cellStyle name="Followed Hyperlink" xfId="1236" builtinId="9" hidden="1"/>
    <cellStyle name="Followed Hyperlink" xfId="1238" builtinId="9" hidden="1"/>
    <cellStyle name="Followed Hyperlink" xfId="1240" builtinId="9" hidden="1"/>
    <cellStyle name="Followed Hyperlink" xfId="1242" builtinId="9" hidden="1"/>
    <cellStyle name="Followed Hyperlink" xfId="1244" builtinId="9" hidden="1"/>
    <cellStyle name="Followed Hyperlink" xfId="1246" builtinId="9" hidden="1"/>
    <cellStyle name="Followed Hyperlink" xfId="1248" builtinId="9" hidden="1"/>
    <cellStyle name="Followed Hyperlink" xfId="1250" builtinId="9" hidden="1"/>
    <cellStyle name="Followed Hyperlink" xfId="1252" builtinId="9" hidden="1"/>
    <cellStyle name="Followed Hyperlink" xfId="1254" builtinId="9" hidden="1"/>
    <cellStyle name="Followed Hyperlink" xfId="1256" builtinId="9" hidden="1"/>
    <cellStyle name="Followed Hyperlink" xfId="1258" builtinId="9" hidden="1"/>
    <cellStyle name="Followed Hyperlink" xfId="1260" builtinId="9" hidden="1"/>
    <cellStyle name="Followed Hyperlink" xfId="1262" builtinId="9" hidden="1"/>
    <cellStyle name="Followed Hyperlink" xfId="1264" builtinId="9" hidden="1"/>
    <cellStyle name="Followed Hyperlink" xfId="1266" builtinId="9" hidden="1"/>
    <cellStyle name="Followed Hyperlink" xfId="1268" builtinId="9" hidden="1"/>
    <cellStyle name="Followed Hyperlink" xfId="1270" builtinId="9" hidden="1"/>
    <cellStyle name="Followed Hyperlink" xfId="1272" builtinId="9" hidden="1"/>
    <cellStyle name="Followed Hyperlink" xfId="1274" builtinId="9" hidden="1"/>
    <cellStyle name="Followed Hyperlink" xfId="1276" builtinId="9" hidden="1"/>
    <cellStyle name="Followed Hyperlink" xfId="1278" builtinId="9" hidden="1"/>
    <cellStyle name="Followed Hyperlink" xfId="1280" builtinId="9" hidden="1"/>
    <cellStyle name="Followed Hyperlink" xfId="1282" builtinId="9" hidden="1"/>
    <cellStyle name="Followed Hyperlink" xfId="1284" builtinId="9" hidden="1"/>
    <cellStyle name="Followed Hyperlink" xfId="1286" builtinId="9" hidden="1"/>
    <cellStyle name="Followed Hyperlink" xfId="1288" builtinId="9" hidden="1"/>
    <cellStyle name="Followed Hyperlink" xfId="1290" builtinId="9" hidden="1"/>
    <cellStyle name="Followed Hyperlink" xfId="1292" builtinId="9" hidden="1"/>
    <cellStyle name="Followed Hyperlink" xfId="1294" builtinId="9" hidden="1"/>
    <cellStyle name="Followed Hyperlink" xfId="1296" builtinId="9" hidden="1"/>
    <cellStyle name="Followed Hyperlink" xfId="1298" builtinId="9" hidden="1"/>
    <cellStyle name="Followed Hyperlink" xfId="1300" builtinId="9" hidden="1"/>
    <cellStyle name="Followed Hyperlink" xfId="1302" builtinId="9" hidden="1"/>
    <cellStyle name="Followed Hyperlink" xfId="1304" builtinId="9" hidden="1"/>
    <cellStyle name="Followed Hyperlink" xfId="1306" builtinId="9" hidden="1"/>
    <cellStyle name="Followed Hyperlink" xfId="1308" builtinId="9" hidden="1"/>
    <cellStyle name="Followed Hyperlink" xfId="1310" builtinId="9" hidden="1"/>
    <cellStyle name="Followed Hyperlink" xfId="1312" builtinId="9" hidden="1"/>
    <cellStyle name="Followed Hyperlink" xfId="1314" builtinId="9" hidden="1"/>
    <cellStyle name="Followed Hyperlink" xfId="1316" builtinId="9" hidden="1"/>
    <cellStyle name="Followed Hyperlink" xfId="1318" builtinId="9" hidden="1"/>
    <cellStyle name="Followed Hyperlink" xfId="1320" builtinId="9" hidden="1"/>
    <cellStyle name="Followed Hyperlink" xfId="1322" builtinId="9" hidden="1"/>
    <cellStyle name="Followed Hyperlink" xfId="1324" builtinId="9" hidden="1"/>
    <cellStyle name="Followed Hyperlink" xfId="1326" builtinId="9" hidden="1"/>
    <cellStyle name="Followed Hyperlink" xfId="1328" builtinId="9" hidden="1"/>
    <cellStyle name="Followed Hyperlink" xfId="1330" builtinId="9" hidden="1"/>
    <cellStyle name="Followed Hyperlink" xfId="1332" builtinId="9" hidden="1"/>
    <cellStyle name="Followed Hyperlink" xfId="1334" builtinId="9" hidden="1"/>
    <cellStyle name="Followed Hyperlink" xfId="1336" builtinId="9" hidden="1"/>
    <cellStyle name="Followed Hyperlink" xfId="1338" builtinId="9" hidden="1"/>
    <cellStyle name="Followed Hyperlink" xfId="1340" builtinId="9" hidden="1"/>
    <cellStyle name="Followed Hyperlink" xfId="1342" builtinId="9" hidden="1"/>
    <cellStyle name="Followed Hyperlink" xfId="1344" builtinId="9" hidden="1"/>
    <cellStyle name="Followed Hyperlink" xfId="1346" builtinId="9" hidden="1"/>
    <cellStyle name="Followed Hyperlink" xfId="1348" builtinId="9" hidden="1"/>
    <cellStyle name="Followed Hyperlink" xfId="1350" builtinId="9" hidden="1"/>
    <cellStyle name="Followed Hyperlink" xfId="1352" builtinId="9" hidden="1"/>
    <cellStyle name="Followed Hyperlink" xfId="1354" builtinId="9" hidden="1"/>
    <cellStyle name="Followed Hyperlink" xfId="1356" builtinId="9" hidden="1"/>
    <cellStyle name="Followed Hyperlink" xfId="1358" builtinId="9" hidden="1"/>
    <cellStyle name="Followed Hyperlink" xfId="1360" builtinId="9" hidden="1"/>
    <cellStyle name="Followed Hyperlink" xfId="1362" builtinId="9" hidden="1"/>
    <cellStyle name="Followed Hyperlink" xfId="1364" builtinId="9" hidden="1"/>
    <cellStyle name="Followed Hyperlink" xfId="1366" builtinId="9" hidden="1"/>
    <cellStyle name="Followed Hyperlink" xfId="1368" builtinId="9" hidden="1"/>
    <cellStyle name="Followed Hyperlink" xfId="1370" builtinId="9" hidden="1"/>
    <cellStyle name="Followed Hyperlink" xfId="1372" builtinId="9" hidden="1"/>
    <cellStyle name="Followed Hyperlink" xfId="1374" builtinId="9" hidden="1"/>
    <cellStyle name="Followed Hyperlink" xfId="1376" builtinId="9" hidden="1"/>
    <cellStyle name="Followed Hyperlink" xfId="1378" builtinId="9" hidden="1"/>
    <cellStyle name="Followed Hyperlink" xfId="1380" builtinId="9" hidden="1"/>
    <cellStyle name="Followed Hyperlink" xfId="1382" builtinId="9" hidden="1"/>
    <cellStyle name="Followed Hyperlink" xfId="1384" builtinId="9" hidden="1"/>
    <cellStyle name="Followed Hyperlink" xfId="1386" builtinId="9" hidden="1"/>
    <cellStyle name="Followed Hyperlink" xfId="1388" builtinId="9" hidden="1"/>
    <cellStyle name="Followed Hyperlink" xfId="1390" builtinId="9" hidden="1"/>
    <cellStyle name="Followed Hyperlink" xfId="1392" builtinId="9" hidden="1"/>
    <cellStyle name="Followed Hyperlink" xfId="1394" builtinId="9" hidden="1"/>
    <cellStyle name="Followed Hyperlink" xfId="1396" builtinId="9" hidden="1"/>
    <cellStyle name="Followed Hyperlink" xfId="1398" builtinId="9" hidden="1"/>
    <cellStyle name="Followed Hyperlink" xfId="1400" builtinId="9" hidden="1"/>
    <cellStyle name="Followed Hyperlink" xfId="1402" builtinId="9" hidden="1"/>
    <cellStyle name="Followed Hyperlink" xfId="1404" builtinId="9" hidden="1"/>
    <cellStyle name="Followed Hyperlink" xfId="1406" builtinId="9" hidden="1"/>
    <cellStyle name="Followed Hyperlink" xfId="1408" builtinId="9" hidden="1"/>
    <cellStyle name="Followed Hyperlink" xfId="1410" builtinId="9" hidden="1"/>
    <cellStyle name="Followed Hyperlink" xfId="1412" builtinId="9" hidden="1"/>
    <cellStyle name="Followed Hyperlink" xfId="1414" builtinId="9" hidden="1"/>
    <cellStyle name="Followed Hyperlink" xfId="1416" builtinId="9" hidden="1"/>
    <cellStyle name="Followed Hyperlink" xfId="1418" builtinId="9" hidden="1"/>
    <cellStyle name="Followed Hyperlink" xfId="1420" builtinId="9" hidden="1"/>
    <cellStyle name="Followed Hyperlink" xfId="1422" builtinId="9" hidden="1"/>
    <cellStyle name="Followed Hyperlink" xfId="1424" builtinId="9" hidden="1"/>
    <cellStyle name="Followed Hyperlink" xfId="1426" builtinId="9" hidden="1"/>
    <cellStyle name="Followed Hyperlink" xfId="1428" builtinId="9" hidden="1"/>
    <cellStyle name="Followed Hyperlink" xfId="1430" builtinId="9" hidden="1"/>
    <cellStyle name="Followed Hyperlink" xfId="1432" builtinId="9" hidden="1"/>
    <cellStyle name="Followed Hyperlink" xfId="1434" builtinId="9" hidden="1"/>
    <cellStyle name="Followed Hyperlink" xfId="1436" builtinId="9" hidden="1"/>
    <cellStyle name="Followed Hyperlink" xfId="1438" builtinId="9" hidden="1"/>
    <cellStyle name="Followed Hyperlink" xfId="1440" builtinId="9" hidden="1"/>
    <cellStyle name="Followed Hyperlink" xfId="1442" builtinId="9" hidden="1"/>
    <cellStyle name="Followed Hyperlink" xfId="1444" builtinId="9" hidden="1"/>
    <cellStyle name="Followed Hyperlink" xfId="1446" builtinId="9" hidden="1"/>
    <cellStyle name="Followed Hyperlink" xfId="1448" builtinId="9" hidden="1"/>
    <cellStyle name="Followed Hyperlink" xfId="1450" builtinId="9" hidden="1"/>
    <cellStyle name="Followed Hyperlink" xfId="1452" builtinId="9" hidden="1"/>
    <cellStyle name="Followed Hyperlink" xfId="1454" builtinId="9" hidden="1"/>
    <cellStyle name="Followed Hyperlink" xfId="1456" builtinId="9" hidden="1"/>
    <cellStyle name="Followed Hyperlink" xfId="1458" builtinId="9" hidden="1"/>
    <cellStyle name="Followed Hyperlink" xfId="1460" builtinId="9" hidden="1"/>
    <cellStyle name="Followed Hyperlink" xfId="1462" builtinId="9" hidden="1"/>
    <cellStyle name="Followed Hyperlink" xfId="1464" builtinId="9" hidden="1"/>
    <cellStyle name="Followed Hyperlink" xfId="1466" builtinId="9" hidden="1"/>
    <cellStyle name="Followed Hyperlink" xfId="1468" builtinId="9" hidden="1"/>
    <cellStyle name="Followed Hyperlink" xfId="1470" builtinId="9" hidden="1"/>
    <cellStyle name="Followed Hyperlink" xfId="1472" builtinId="9" hidden="1"/>
    <cellStyle name="Followed Hyperlink" xfId="1474" builtinId="9" hidden="1"/>
    <cellStyle name="Followed Hyperlink" xfId="1476" builtinId="9" hidden="1"/>
    <cellStyle name="Followed Hyperlink" xfId="1478" builtinId="9" hidden="1"/>
    <cellStyle name="Followed Hyperlink" xfId="1480" builtinId="9" hidden="1"/>
    <cellStyle name="Followed Hyperlink" xfId="1482" builtinId="9" hidden="1"/>
    <cellStyle name="Followed Hyperlink" xfId="1484" builtinId="9" hidden="1"/>
    <cellStyle name="Followed Hyperlink" xfId="1486" builtinId="9" hidden="1"/>
    <cellStyle name="Followed Hyperlink" xfId="1488" builtinId="9" hidden="1"/>
    <cellStyle name="Followed Hyperlink" xfId="1490" builtinId="9" hidden="1"/>
    <cellStyle name="Followed Hyperlink" xfId="1492" builtinId="9" hidden="1"/>
    <cellStyle name="Followed Hyperlink" xfId="1494" builtinId="9" hidden="1"/>
    <cellStyle name="Followed Hyperlink" xfId="1496" builtinId="9" hidden="1"/>
    <cellStyle name="Followed Hyperlink" xfId="1498" builtinId="9" hidden="1"/>
    <cellStyle name="Followed Hyperlink" xfId="1500" builtinId="9" hidden="1"/>
    <cellStyle name="Followed Hyperlink" xfId="1502" builtinId="9" hidden="1"/>
    <cellStyle name="Followed Hyperlink" xfId="1504" builtinId="9" hidden="1"/>
    <cellStyle name="Followed Hyperlink" xfId="1506" builtinId="9" hidden="1"/>
    <cellStyle name="Followed Hyperlink" xfId="1508" builtinId="9" hidden="1"/>
    <cellStyle name="Followed Hyperlink" xfId="1510" builtinId="9" hidden="1"/>
    <cellStyle name="Followed Hyperlink" xfId="1512" builtinId="9" hidden="1"/>
    <cellStyle name="Followed Hyperlink" xfId="1514" builtinId="9" hidden="1"/>
    <cellStyle name="Followed Hyperlink" xfId="1516" builtinId="9" hidden="1"/>
    <cellStyle name="Followed Hyperlink" xfId="1518" builtinId="9" hidden="1"/>
    <cellStyle name="Followed Hyperlink" xfId="1520" builtinId="9" hidden="1"/>
    <cellStyle name="Followed Hyperlink" xfId="1522" builtinId="9" hidden="1"/>
    <cellStyle name="Followed Hyperlink" xfId="1524" builtinId="9" hidden="1"/>
    <cellStyle name="Followed Hyperlink" xfId="1526" builtinId="9" hidden="1"/>
    <cellStyle name="Followed Hyperlink" xfId="1528" builtinId="9" hidden="1"/>
    <cellStyle name="Followed Hyperlink" xfId="1530" builtinId="9" hidden="1"/>
    <cellStyle name="Followed Hyperlink" xfId="1532" builtinId="9" hidden="1"/>
    <cellStyle name="Followed Hyperlink" xfId="1534" builtinId="9" hidden="1"/>
    <cellStyle name="Followed Hyperlink" xfId="1536" builtinId="9" hidden="1"/>
    <cellStyle name="Followed Hyperlink" xfId="1538" builtinId="9" hidden="1"/>
    <cellStyle name="Followed Hyperlink" xfId="1540" builtinId="9" hidden="1"/>
    <cellStyle name="Followed Hyperlink" xfId="1542" builtinId="9" hidden="1"/>
    <cellStyle name="Followed Hyperlink" xfId="1544" builtinId="9" hidden="1"/>
    <cellStyle name="Followed Hyperlink" xfId="1546" builtinId="9" hidden="1"/>
    <cellStyle name="Followed Hyperlink" xfId="1548" builtinId="9" hidden="1"/>
    <cellStyle name="Followed Hyperlink" xfId="1550" builtinId="9" hidden="1"/>
    <cellStyle name="Followed Hyperlink" xfId="1552" builtinId="9" hidden="1"/>
    <cellStyle name="Followed Hyperlink" xfId="1554" builtinId="9" hidden="1"/>
    <cellStyle name="Followed Hyperlink" xfId="1556" builtinId="9" hidden="1"/>
    <cellStyle name="Followed Hyperlink" xfId="1558" builtinId="9" hidden="1"/>
    <cellStyle name="Followed Hyperlink" xfId="1560" builtinId="9" hidden="1"/>
    <cellStyle name="Followed Hyperlink" xfId="1562" builtinId="9" hidden="1"/>
    <cellStyle name="Followed Hyperlink" xfId="1564" builtinId="9" hidden="1"/>
    <cellStyle name="Followed Hyperlink" xfId="1566" builtinId="9" hidden="1"/>
    <cellStyle name="Followed Hyperlink" xfId="1568" builtinId="9" hidden="1"/>
    <cellStyle name="Followed Hyperlink" xfId="1570" builtinId="9" hidden="1"/>
    <cellStyle name="Followed Hyperlink" xfId="1572" builtinId="9" hidden="1"/>
    <cellStyle name="Followed Hyperlink" xfId="1574" builtinId="9" hidden="1"/>
    <cellStyle name="Followed Hyperlink" xfId="1576" builtinId="9" hidden="1"/>
    <cellStyle name="Followed Hyperlink" xfId="1578" builtinId="9" hidden="1"/>
    <cellStyle name="Followed Hyperlink" xfId="1580" builtinId="9" hidden="1"/>
    <cellStyle name="Followed Hyperlink" xfId="1582" builtinId="9" hidden="1"/>
    <cellStyle name="Followed Hyperlink" xfId="1584" builtinId="9" hidden="1"/>
    <cellStyle name="Followed Hyperlink" xfId="1586" builtinId="9" hidden="1"/>
    <cellStyle name="Followed Hyperlink" xfId="1588" builtinId="9" hidden="1"/>
    <cellStyle name="Followed Hyperlink" xfId="1590" builtinId="9" hidden="1"/>
    <cellStyle name="Followed Hyperlink" xfId="1592" builtinId="9" hidden="1"/>
    <cellStyle name="Followed Hyperlink" xfId="1594" builtinId="9" hidden="1"/>
    <cellStyle name="Followed Hyperlink" xfId="1596" builtinId="9" hidden="1"/>
    <cellStyle name="Followed Hyperlink" xfId="1598" builtinId="9" hidden="1"/>
    <cellStyle name="Followed Hyperlink" xfId="1600" builtinId="9" hidden="1"/>
    <cellStyle name="Followed Hyperlink" xfId="1602" builtinId="9" hidden="1"/>
    <cellStyle name="Followed Hyperlink" xfId="1604" builtinId="9" hidden="1"/>
    <cellStyle name="Followed Hyperlink" xfId="1606" builtinId="9" hidden="1"/>
    <cellStyle name="Followed Hyperlink" xfId="1608" builtinId="9" hidden="1"/>
    <cellStyle name="Followed Hyperlink" xfId="1610" builtinId="9" hidden="1"/>
    <cellStyle name="Followed Hyperlink" xfId="1612" builtinId="9" hidden="1"/>
    <cellStyle name="Followed Hyperlink" xfId="1614" builtinId="9" hidden="1"/>
    <cellStyle name="Followed Hyperlink" xfId="1616" builtinId="9" hidden="1"/>
    <cellStyle name="Followed Hyperlink" xfId="1618" builtinId="9" hidden="1"/>
    <cellStyle name="Followed Hyperlink" xfId="1620" builtinId="9" hidden="1"/>
    <cellStyle name="Followed Hyperlink" xfId="1622" builtinId="9" hidden="1"/>
    <cellStyle name="Followed Hyperlink" xfId="1624" builtinId="9" hidden="1"/>
    <cellStyle name="Followed Hyperlink" xfId="1627" builtinId="9" hidden="1"/>
    <cellStyle name="Followed Hyperlink" xfId="1629" builtinId="9" hidden="1"/>
    <cellStyle name="Followed Hyperlink" xfId="1631" builtinId="9" hidden="1"/>
    <cellStyle name="Followed Hyperlink" xfId="1633" builtinId="9" hidden="1"/>
    <cellStyle name="Followed Hyperlink" xfId="1635" builtinId="9" hidden="1"/>
    <cellStyle name="Followed Hyperlink" xfId="1637" builtinId="9" hidden="1"/>
    <cellStyle name="Followed Hyperlink" xfId="1639" builtinId="9" hidden="1"/>
    <cellStyle name="Followed Hyperlink" xfId="1641" builtinId="9" hidden="1"/>
    <cellStyle name="Followed Hyperlink" xfId="1643" builtinId="9" hidden="1"/>
    <cellStyle name="Followed Hyperlink" xfId="1645" builtinId="9" hidden="1"/>
    <cellStyle name="Followed Hyperlink" xfId="1647" builtinId="9" hidden="1"/>
    <cellStyle name="Followed Hyperlink" xfId="1649" builtinId="9" hidden="1"/>
    <cellStyle name="Followed Hyperlink" xfId="1651" builtinId="9" hidden="1"/>
    <cellStyle name="Followed Hyperlink" xfId="1653" builtinId="9" hidden="1"/>
    <cellStyle name="Followed Hyperlink" xfId="1655" builtinId="9" hidden="1"/>
    <cellStyle name="Followed Hyperlink" xfId="1657" builtinId="9" hidden="1"/>
    <cellStyle name="Followed Hyperlink" xfId="1659" builtinId="9" hidden="1"/>
    <cellStyle name="Followed Hyperlink" xfId="1661" builtinId="9" hidden="1"/>
    <cellStyle name="Followed Hyperlink" xfId="1663" builtinId="9" hidden="1"/>
    <cellStyle name="Followed Hyperlink" xfId="1665" builtinId="9" hidden="1"/>
    <cellStyle name="Followed Hyperlink" xfId="1667" builtinId="9" hidden="1"/>
    <cellStyle name="Followed Hyperlink" xfId="1669" builtinId="9" hidden="1"/>
    <cellStyle name="Followed Hyperlink" xfId="1671" builtinId="9" hidden="1"/>
    <cellStyle name="Followed Hyperlink" xfId="1673" builtinId="9" hidden="1"/>
    <cellStyle name="Followed Hyperlink" xfId="1675" builtinId="9" hidden="1"/>
    <cellStyle name="Followed Hyperlink" xfId="1677" builtinId="9" hidden="1"/>
    <cellStyle name="Followed Hyperlink" xfId="1679" builtinId="9" hidden="1"/>
    <cellStyle name="Followed Hyperlink" xfId="1681" builtinId="9" hidden="1"/>
    <cellStyle name="Followed Hyperlink" xfId="1683" builtinId="9" hidden="1"/>
    <cellStyle name="Followed Hyperlink" xfId="1685" builtinId="9" hidden="1"/>
    <cellStyle name="Followed Hyperlink" xfId="1687" builtinId="9" hidden="1"/>
    <cellStyle name="Followed Hyperlink" xfId="1689" builtinId="9" hidden="1"/>
    <cellStyle name="Followed Hyperlink" xfId="1691" builtinId="9" hidden="1"/>
    <cellStyle name="Followed Hyperlink" xfId="1693" builtinId="9" hidden="1"/>
    <cellStyle name="Followed Hyperlink" xfId="1695" builtinId="9" hidden="1"/>
    <cellStyle name="Followed Hyperlink" xfId="1697" builtinId="9" hidden="1"/>
    <cellStyle name="Followed Hyperlink" xfId="1699" builtinId="9" hidden="1"/>
    <cellStyle name="Followed Hyperlink" xfId="1701" builtinId="9" hidden="1"/>
    <cellStyle name="Followed Hyperlink" xfId="1703" builtinId="9" hidden="1"/>
    <cellStyle name="Followed Hyperlink" xfId="1705" builtinId="9" hidden="1"/>
    <cellStyle name="Followed Hyperlink" xfId="1707" builtinId="9" hidden="1"/>
    <cellStyle name="Followed Hyperlink" xfId="1709" builtinId="9" hidden="1"/>
    <cellStyle name="Followed Hyperlink" xfId="1711" builtinId="9" hidden="1"/>
    <cellStyle name="Followed Hyperlink" xfId="1713" builtinId="9" hidden="1"/>
    <cellStyle name="Followed Hyperlink" xfId="1715" builtinId="9" hidden="1"/>
    <cellStyle name="Followed Hyperlink" xfId="1717" builtinId="9" hidden="1"/>
    <cellStyle name="Followed Hyperlink" xfId="1719" builtinId="9" hidden="1"/>
    <cellStyle name="Followed Hyperlink" xfId="1721" builtinId="9" hidden="1"/>
    <cellStyle name="Followed Hyperlink" xfId="1723" builtinId="9" hidden="1"/>
    <cellStyle name="Followed Hyperlink" xfId="1725" builtinId="9" hidden="1"/>
    <cellStyle name="Followed Hyperlink" xfId="1727" builtinId="9" hidden="1"/>
    <cellStyle name="Followed Hyperlink" xfId="1729" builtinId="9" hidden="1"/>
    <cellStyle name="Followed Hyperlink" xfId="1731" builtinId="9" hidden="1"/>
    <cellStyle name="Followed Hyperlink" xfId="1733" builtinId="9" hidden="1"/>
    <cellStyle name="Followed Hyperlink" xfId="1735" builtinId="9" hidden="1"/>
    <cellStyle name="Followed Hyperlink" xfId="1737" builtinId="9" hidden="1"/>
    <cellStyle name="Followed Hyperlink" xfId="1739" builtinId="9" hidden="1"/>
    <cellStyle name="Followed Hyperlink" xfId="1741" builtinId="9" hidden="1"/>
    <cellStyle name="Followed Hyperlink" xfId="1743" builtinId="9" hidden="1"/>
    <cellStyle name="Followed Hyperlink" xfId="1745" builtinId="9" hidden="1"/>
    <cellStyle name="Followed Hyperlink" xfId="1747" builtinId="9" hidden="1"/>
    <cellStyle name="Followed Hyperlink" xfId="1749" builtinId="9" hidden="1"/>
    <cellStyle name="Followed Hyperlink" xfId="1751" builtinId="9" hidden="1"/>
    <cellStyle name="Followed Hyperlink" xfId="1753" builtinId="9" hidden="1"/>
    <cellStyle name="Followed Hyperlink" xfId="1755" builtinId="9" hidden="1"/>
    <cellStyle name="Followed Hyperlink" xfId="1757" builtinId="9" hidden="1"/>
    <cellStyle name="Followed Hyperlink" xfId="1759" builtinId="9" hidden="1"/>
    <cellStyle name="Followed Hyperlink" xfId="1761" builtinId="9" hidden="1"/>
    <cellStyle name="Followed Hyperlink" xfId="1763" builtinId="9" hidden="1"/>
    <cellStyle name="Followed Hyperlink" xfId="1765" builtinId="9" hidden="1"/>
    <cellStyle name="Followed Hyperlink" xfId="1767" builtinId="9" hidden="1"/>
    <cellStyle name="Followed Hyperlink" xfId="1769" builtinId="9" hidden="1"/>
    <cellStyle name="Followed Hyperlink" xfId="1771" builtinId="9" hidden="1"/>
    <cellStyle name="Followed Hyperlink" xfId="1773" builtinId="9" hidden="1"/>
    <cellStyle name="Followed Hyperlink" xfId="1775" builtinId="9" hidden="1"/>
    <cellStyle name="Followed Hyperlink" xfId="1777" builtinId="9" hidden="1"/>
    <cellStyle name="Followed Hyperlink" xfId="1779" builtinId="9" hidden="1"/>
    <cellStyle name="Followed Hyperlink" xfId="1781" builtinId="9" hidden="1"/>
    <cellStyle name="Followed Hyperlink" xfId="1783" builtinId="9" hidden="1"/>
    <cellStyle name="Followed Hyperlink" xfId="1785" builtinId="9" hidden="1"/>
    <cellStyle name="Followed Hyperlink" xfId="1787" builtinId="9" hidden="1"/>
    <cellStyle name="Followed Hyperlink" xfId="1789" builtinId="9" hidden="1"/>
    <cellStyle name="Followed Hyperlink" xfId="1791" builtinId="9" hidden="1"/>
    <cellStyle name="Followed Hyperlink" xfId="1793" builtinId="9" hidden="1"/>
    <cellStyle name="Followed Hyperlink" xfId="1795" builtinId="9" hidden="1"/>
    <cellStyle name="Followed Hyperlink" xfId="1797" builtinId="9" hidden="1"/>
    <cellStyle name="Followed Hyperlink" xfId="1799" builtinId="9" hidden="1"/>
    <cellStyle name="Followed Hyperlink" xfId="1801" builtinId="9" hidden="1"/>
    <cellStyle name="Followed Hyperlink" xfId="1803" builtinId="9" hidden="1"/>
    <cellStyle name="Followed Hyperlink" xfId="1805" builtinId="9" hidden="1"/>
    <cellStyle name="Followed Hyperlink" xfId="1807" builtinId="9" hidden="1"/>
    <cellStyle name="Followed Hyperlink" xfId="1809" builtinId="9" hidden="1"/>
    <cellStyle name="Followed Hyperlink" xfId="1811" builtinId="9" hidden="1"/>
    <cellStyle name="Followed Hyperlink" xfId="1813" builtinId="9" hidden="1"/>
    <cellStyle name="Followed Hyperlink" xfId="1815" builtinId="9" hidden="1"/>
    <cellStyle name="Followed Hyperlink" xfId="1817" builtinId="9" hidden="1"/>
    <cellStyle name="Followed Hyperlink" xfId="1819" builtinId="9" hidden="1"/>
    <cellStyle name="Followed Hyperlink" xfId="1821" builtinId="9" hidden="1"/>
    <cellStyle name="Followed Hyperlink" xfId="1823" builtinId="9" hidden="1"/>
    <cellStyle name="Followed Hyperlink" xfId="1825" builtinId="9" hidden="1"/>
    <cellStyle name="Followed Hyperlink" xfId="1827" builtinId="9" hidden="1"/>
    <cellStyle name="Followed Hyperlink" xfId="1829" builtinId="9" hidden="1"/>
    <cellStyle name="Followed Hyperlink" xfId="1831" builtinId="9" hidden="1"/>
    <cellStyle name="Followed Hyperlink" xfId="1833" builtinId="9" hidden="1"/>
    <cellStyle name="Followed Hyperlink" xfId="1835" builtinId="9" hidden="1"/>
    <cellStyle name="Followed Hyperlink" xfId="1837" builtinId="9" hidden="1"/>
    <cellStyle name="Followed Hyperlink" xfId="1839" builtinId="9" hidden="1"/>
    <cellStyle name="Followed Hyperlink" xfId="1841" builtinId="9" hidden="1"/>
    <cellStyle name="Followed Hyperlink" xfId="1843" builtinId="9" hidden="1"/>
    <cellStyle name="Followed Hyperlink" xfId="1845" builtinId="9" hidden="1"/>
    <cellStyle name="Followed Hyperlink" xfId="1847" builtinId="9" hidden="1"/>
    <cellStyle name="Followed Hyperlink" xfId="1849" builtinId="9" hidden="1"/>
    <cellStyle name="Followed Hyperlink" xfId="1851" builtinId="9" hidden="1"/>
    <cellStyle name="Followed Hyperlink" xfId="1853" builtinId="9" hidden="1"/>
    <cellStyle name="Followed Hyperlink" xfId="1855" builtinId="9" hidden="1"/>
    <cellStyle name="Followed Hyperlink" xfId="1857" builtinId="9" hidden="1"/>
    <cellStyle name="Followed Hyperlink" xfId="1859" builtinId="9" hidden="1"/>
    <cellStyle name="Followed Hyperlink" xfId="1861" builtinId="9" hidden="1"/>
    <cellStyle name="Followed Hyperlink" xfId="1863" builtinId="9" hidden="1"/>
    <cellStyle name="Followed Hyperlink" xfId="1865" builtinId="9" hidden="1"/>
    <cellStyle name="Followed Hyperlink" xfId="1867" builtinId="9" hidden="1"/>
    <cellStyle name="Followed Hyperlink" xfId="1869" builtinId="9" hidden="1"/>
    <cellStyle name="Followed Hyperlink" xfId="1871" builtinId="9" hidden="1"/>
    <cellStyle name="Followed Hyperlink" xfId="1873" builtinId="9" hidden="1"/>
    <cellStyle name="Followed Hyperlink" xfId="1875" builtinId="9" hidden="1"/>
    <cellStyle name="Followed Hyperlink" xfId="1877" builtinId="9" hidden="1"/>
    <cellStyle name="Followed Hyperlink" xfId="1879" builtinId="9" hidden="1"/>
    <cellStyle name="Followed Hyperlink" xfId="1881" builtinId="9" hidden="1"/>
    <cellStyle name="Followed Hyperlink" xfId="1883" builtinId="9" hidden="1"/>
    <cellStyle name="Followed Hyperlink" xfId="1885" builtinId="9" hidden="1"/>
    <cellStyle name="Followed Hyperlink" xfId="1887" builtinId="9" hidden="1"/>
    <cellStyle name="Followed Hyperlink" xfId="1889" builtinId="9" hidden="1"/>
    <cellStyle name="Followed Hyperlink" xfId="1891" builtinId="9" hidden="1"/>
    <cellStyle name="Followed Hyperlink" xfId="1893" builtinId="9" hidden="1"/>
    <cellStyle name="Followed Hyperlink" xfId="1895" builtinId="9" hidden="1"/>
    <cellStyle name="Followed Hyperlink" xfId="1897" builtinId="9" hidden="1"/>
    <cellStyle name="Followed Hyperlink" xfId="1899" builtinId="9" hidden="1"/>
    <cellStyle name="Followed Hyperlink" xfId="1901" builtinId="9" hidden="1"/>
    <cellStyle name="Followed Hyperlink" xfId="1903" builtinId="9" hidden="1"/>
    <cellStyle name="Followed Hyperlink" xfId="1905" builtinId="9" hidden="1"/>
    <cellStyle name="Followed Hyperlink" xfId="1907" builtinId="9" hidden="1"/>
    <cellStyle name="Followed Hyperlink" xfId="1909" builtinId="9" hidden="1"/>
    <cellStyle name="Followed Hyperlink" xfId="1911" builtinId="9" hidden="1"/>
    <cellStyle name="Followed Hyperlink" xfId="1913" builtinId="9" hidden="1"/>
    <cellStyle name="Followed Hyperlink" xfId="1915" builtinId="9" hidden="1"/>
    <cellStyle name="Followed Hyperlink" xfId="1917" builtinId="9" hidden="1"/>
    <cellStyle name="Followed Hyperlink" xfId="1919" builtinId="9" hidden="1"/>
    <cellStyle name="Followed Hyperlink" xfId="1921" builtinId="9" hidden="1"/>
    <cellStyle name="Followed Hyperlink" xfId="1923" builtinId="9" hidden="1"/>
    <cellStyle name="Followed Hyperlink" xfId="1925" builtinId="9" hidden="1"/>
    <cellStyle name="Followed Hyperlink" xfId="1927" builtinId="9" hidden="1"/>
    <cellStyle name="Followed Hyperlink" xfId="1929" builtinId="9" hidden="1"/>
    <cellStyle name="Followed Hyperlink" xfId="1931" builtinId="9" hidden="1"/>
    <cellStyle name="Followed Hyperlink" xfId="1933" builtinId="9" hidden="1"/>
    <cellStyle name="Followed Hyperlink" xfId="1935" builtinId="9" hidden="1"/>
    <cellStyle name="Followed Hyperlink" xfId="1937" builtinId="9" hidden="1"/>
    <cellStyle name="Followed Hyperlink" xfId="1939" builtinId="9" hidden="1"/>
    <cellStyle name="Followed Hyperlink" xfId="1941" builtinId="9" hidden="1"/>
    <cellStyle name="Followed Hyperlink" xfId="1943" builtinId="9" hidden="1"/>
    <cellStyle name="Followed Hyperlink" xfId="1945" builtinId="9" hidden="1"/>
    <cellStyle name="Followed Hyperlink" xfId="1947" builtinId="9" hidden="1"/>
    <cellStyle name="Followed Hyperlink" xfId="1949" builtinId="9" hidden="1"/>
    <cellStyle name="Followed Hyperlink" xfId="1951" builtinId="9" hidden="1"/>
    <cellStyle name="Followed Hyperlink" xfId="1953" builtinId="9" hidden="1"/>
    <cellStyle name="Followed Hyperlink" xfId="1955" builtinId="9" hidden="1"/>
    <cellStyle name="Followed Hyperlink" xfId="1957" builtinId="9" hidden="1"/>
    <cellStyle name="Followed Hyperlink" xfId="1959" builtinId="9" hidden="1"/>
    <cellStyle name="Followed Hyperlink" xfId="1961" builtinId="9" hidden="1"/>
    <cellStyle name="Followed Hyperlink" xfId="1963" builtinId="9" hidden="1"/>
    <cellStyle name="Followed Hyperlink" xfId="1965" builtinId="9" hidden="1"/>
    <cellStyle name="Followed Hyperlink" xfId="1967" builtinId="9" hidden="1"/>
    <cellStyle name="Followed Hyperlink" xfId="1969" builtinId="9" hidden="1"/>
    <cellStyle name="Followed Hyperlink" xfId="1971" builtinId="9" hidden="1"/>
    <cellStyle name="Followed Hyperlink" xfId="1973" builtinId="9" hidden="1"/>
    <cellStyle name="Followed Hyperlink" xfId="1975" builtinId="9" hidden="1"/>
    <cellStyle name="Followed Hyperlink" xfId="1977" builtinId="9" hidden="1"/>
    <cellStyle name="Followed Hyperlink" xfId="1979" builtinId="9" hidden="1"/>
    <cellStyle name="Followed Hyperlink" xfId="1981" builtinId="9" hidden="1"/>
    <cellStyle name="Followed Hyperlink" xfId="1983" builtinId="9" hidden="1"/>
    <cellStyle name="Followed Hyperlink" xfId="1985" builtinId="9" hidden="1"/>
    <cellStyle name="Followed Hyperlink" xfId="1987" builtinId="9" hidden="1"/>
    <cellStyle name="Followed Hyperlink" xfId="1989" builtinId="9" hidden="1"/>
    <cellStyle name="Followed Hyperlink" xfId="1991" builtinId="9" hidden="1"/>
    <cellStyle name="Followed Hyperlink" xfId="1993" builtinId="9" hidden="1"/>
    <cellStyle name="Followed Hyperlink" xfId="1995" builtinId="9" hidden="1"/>
    <cellStyle name="Followed Hyperlink" xfId="1997" builtinId="9" hidden="1"/>
    <cellStyle name="Followed Hyperlink" xfId="1999" builtinId="9" hidden="1"/>
    <cellStyle name="Followed Hyperlink" xfId="2001" builtinId="9" hidden="1"/>
    <cellStyle name="Followed Hyperlink" xfId="2003" builtinId="9" hidden="1"/>
    <cellStyle name="Followed Hyperlink" xfId="2005" builtinId="9" hidden="1"/>
    <cellStyle name="Followed Hyperlink" xfId="2007" builtinId="9" hidden="1"/>
    <cellStyle name="Followed Hyperlink" xfId="2009" builtinId="9" hidden="1"/>
    <cellStyle name="Followed Hyperlink" xfId="2011" builtinId="9" hidden="1"/>
    <cellStyle name="Followed Hyperlink" xfId="2013" builtinId="9" hidden="1"/>
    <cellStyle name="Followed Hyperlink" xfId="2015" builtinId="9" hidden="1"/>
    <cellStyle name="Followed Hyperlink" xfId="2017" builtinId="9" hidden="1"/>
    <cellStyle name="Followed Hyperlink" xfId="2019" builtinId="9" hidden="1"/>
    <cellStyle name="Followed Hyperlink" xfId="2021" builtinId="9" hidden="1"/>
    <cellStyle name="Followed Hyperlink" xfId="2023" builtinId="9" hidden="1"/>
    <cellStyle name="Followed Hyperlink" xfId="2025" builtinId="9" hidden="1"/>
    <cellStyle name="Followed Hyperlink" xfId="2027" builtinId="9" hidden="1"/>
    <cellStyle name="Followed Hyperlink" xfId="2029" builtinId="9" hidden="1"/>
    <cellStyle name="Followed Hyperlink" xfId="2031" builtinId="9" hidden="1"/>
    <cellStyle name="Followed Hyperlink" xfId="2033" builtinId="9" hidden="1"/>
    <cellStyle name="Followed Hyperlink" xfId="2035" builtinId="9" hidden="1"/>
    <cellStyle name="Followed Hyperlink" xfId="2037" builtinId="9" hidden="1"/>
    <cellStyle name="Followed Hyperlink" xfId="2039" builtinId="9" hidden="1"/>
    <cellStyle name="Followed Hyperlink" xfId="2041" builtinId="9" hidden="1"/>
    <cellStyle name="Followed Hyperlink" xfId="2043" builtinId="9" hidden="1"/>
    <cellStyle name="Followed Hyperlink" xfId="2045" builtinId="9" hidden="1"/>
    <cellStyle name="Followed Hyperlink" xfId="2047" builtinId="9" hidden="1"/>
    <cellStyle name="Followed Hyperlink" xfId="2049" builtinId="9" hidden="1"/>
    <cellStyle name="Followed Hyperlink" xfId="2051" builtinId="9" hidden="1"/>
    <cellStyle name="Followed Hyperlink" xfId="2053" builtinId="9" hidden="1"/>
    <cellStyle name="Followed Hyperlink" xfId="2055" builtinId="9" hidden="1"/>
    <cellStyle name="Followed Hyperlink" xfId="2057" builtinId="9" hidden="1"/>
    <cellStyle name="Followed Hyperlink" xfId="2059" builtinId="9" hidden="1"/>
    <cellStyle name="Followed Hyperlink" xfId="2061" builtinId="9" hidden="1"/>
    <cellStyle name="Followed Hyperlink" xfId="2063" builtinId="9" hidden="1"/>
    <cellStyle name="Followed Hyperlink" xfId="2065" builtinId="9" hidden="1"/>
    <cellStyle name="Followed Hyperlink" xfId="2067" builtinId="9" hidden="1"/>
    <cellStyle name="Followed Hyperlink" xfId="2069" builtinId="9" hidden="1"/>
    <cellStyle name="Followed Hyperlink" xfId="2071" builtinId="9" hidden="1"/>
    <cellStyle name="Followed Hyperlink" xfId="2073" builtinId="9" hidden="1"/>
    <cellStyle name="Followed Hyperlink" xfId="2075" builtinId="9" hidden="1"/>
    <cellStyle name="Followed Hyperlink" xfId="2077" builtinId="9" hidden="1"/>
    <cellStyle name="Followed Hyperlink" xfId="2079" builtinId="9" hidden="1"/>
    <cellStyle name="Followed Hyperlink" xfId="2081" builtinId="9" hidden="1"/>
    <cellStyle name="Followed Hyperlink" xfId="2083" builtinId="9" hidden="1"/>
    <cellStyle name="Followed Hyperlink" xfId="2085" builtinId="9" hidden="1"/>
    <cellStyle name="Followed Hyperlink" xfId="2087" builtinId="9" hidden="1"/>
    <cellStyle name="Followed Hyperlink" xfId="2089" builtinId="9" hidden="1"/>
    <cellStyle name="Followed Hyperlink" xfId="2091" builtinId="9" hidden="1"/>
    <cellStyle name="Followed Hyperlink" xfId="2093" builtinId="9" hidden="1"/>
    <cellStyle name="Followed Hyperlink" xfId="2095" builtinId="9" hidden="1"/>
    <cellStyle name="Followed Hyperlink" xfId="2097" builtinId="9" hidden="1"/>
    <cellStyle name="Followed Hyperlink" xfId="2099" builtinId="9" hidden="1"/>
    <cellStyle name="Followed Hyperlink" xfId="2101" builtinId="9" hidden="1"/>
    <cellStyle name="Followed Hyperlink" xfId="2103" builtinId="9" hidden="1"/>
    <cellStyle name="Followed Hyperlink" xfId="2105" builtinId="9" hidden="1"/>
    <cellStyle name="Followed Hyperlink" xfId="2107" builtinId="9" hidden="1"/>
    <cellStyle name="Followed Hyperlink" xfId="2109" builtinId="9" hidden="1"/>
    <cellStyle name="Followed Hyperlink" xfId="2111" builtinId="9" hidden="1"/>
    <cellStyle name="Followed Hyperlink" xfId="2113" builtinId="9" hidden="1"/>
    <cellStyle name="Followed Hyperlink" xfId="2115" builtinId="9" hidden="1"/>
    <cellStyle name="Followed Hyperlink" xfId="2117" builtinId="9" hidden="1"/>
    <cellStyle name="Followed Hyperlink" xfId="2119" builtinId="9" hidden="1"/>
    <cellStyle name="Followed Hyperlink" xfId="2121" builtinId="9" hidden="1"/>
    <cellStyle name="Followed Hyperlink" xfId="2123" builtinId="9" hidden="1"/>
    <cellStyle name="Followed Hyperlink" xfId="2125" builtinId="9" hidden="1"/>
    <cellStyle name="Followed Hyperlink" xfId="2127" builtinId="9" hidden="1"/>
    <cellStyle name="Followed Hyperlink" xfId="2129" builtinId="9" hidden="1"/>
    <cellStyle name="Followed Hyperlink" xfId="2131" builtinId="9" hidden="1"/>
    <cellStyle name="Followed Hyperlink" xfId="2133" builtinId="9" hidden="1"/>
    <cellStyle name="Followed Hyperlink" xfId="2135" builtinId="9" hidden="1"/>
    <cellStyle name="Followed Hyperlink" xfId="2137" builtinId="9" hidden="1"/>
    <cellStyle name="Followed Hyperlink" xfId="2139" builtinId="9" hidden="1"/>
    <cellStyle name="Followed Hyperlink" xfId="2141" builtinId="9" hidden="1"/>
    <cellStyle name="Followed Hyperlink" xfId="2143" builtinId="9" hidden="1"/>
    <cellStyle name="Followed Hyperlink" xfId="2145" builtinId="9" hidden="1"/>
    <cellStyle name="Followed Hyperlink" xfId="2147" builtinId="9" hidden="1"/>
    <cellStyle name="Followed Hyperlink" xfId="2149" builtinId="9" hidden="1"/>
    <cellStyle name="Followed Hyperlink" xfId="2151" builtinId="9" hidden="1"/>
    <cellStyle name="Followed Hyperlink" xfId="2153" builtinId="9" hidden="1"/>
    <cellStyle name="Followed Hyperlink" xfId="2155" builtinId="9" hidden="1"/>
    <cellStyle name="Followed Hyperlink" xfId="2157" builtinId="9" hidden="1"/>
    <cellStyle name="Followed Hyperlink" xfId="2159" builtinId="9" hidden="1"/>
    <cellStyle name="Followed Hyperlink" xfId="2161" builtinId="9" hidden="1"/>
    <cellStyle name="Followed Hyperlink" xfId="2163" builtinId="9" hidden="1"/>
    <cellStyle name="Followed Hyperlink" xfId="2165" builtinId="9" hidden="1"/>
    <cellStyle name="Followed Hyperlink" xfId="2167" builtinId="9" hidden="1"/>
    <cellStyle name="Followed Hyperlink" xfId="2169" builtinId="9" hidden="1"/>
    <cellStyle name="Followed Hyperlink" xfId="2171" builtinId="9" hidden="1"/>
    <cellStyle name="Followed Hyperlink" xfId="2173" builtinId="9" hidden="1"/>
    <cellStyle name="Followed Hyperlink" xfId="2175" builtinId="9" hidden="1"/>
    <cellStyle name="Followed Hyperlink" xfId="2177" builtinId="9" hidden="1"/>
    <cellStyle name="Followed Hyperlink" xfId="2179" builtinId="9" hidden="1"/>
    <cellStyle name="Followed Hyperlink" xfId="2181" builtinId="9" hidden="1"/>
    <cellStyle name="Followed Hyperlink" xfId="2183" builtinId="9" hidden="1"/>
    <cellStyle name="Followed Hyperlink" xfId="2185" builtinId="9" hidden="1"/>
    <cellStyle name="Followed Hyperlink" xfId="2187" builtinId="9" hidden="1"/>
    <cellStyle name="Followed Hyperlink" xfId="2189" builtinId="9" hidden="1"/>
    <cellStyle name="Followed Hyperlink" xfId="2191" builtinId="9" hidden="1"/>
    <cellStyle name="Followed Hyperlink" xfId="2193" builtinId="9" hidden="1"/>
    <cellStyle name="Followed Hyperlink" xfId="2195" builtinId="9" hidden="1"/>
    <cellStyle name="Followed Hyperlink" xfId="2197" builtinId="9" hidden="1"/>
    <cellStyle name="Followed Hyperlink" xfId="2199" builtinId="9" hidden="1"/>
    <cellStyle name="Followed Hyperlink" xfId="2201" builtinId="9" hidden="1"/>
    <cellStyle name="Followed Hyperlink" xfId="2203" builtinId="9" hidden="1"/>
    <cellStyle name="Followed Hyperlink" xfId="2205" builtinId="9" hidden="1"/>
    <cellStyle name="Followed Hyperlink" xfId="2207" builtinId="9" hidden="1"/>
    <cellStyle name="Followed Hyperlink" xfId="2209" builtinId="9" hidden="1"/>
    <cellStyle name="Followed Hyperlink" xfId="2211" builtinId="9" hidden="1"/>
    <cellStyle name="Followed Hyperlink" xfId="2213" builtinId="9" hidden="1"/>
    <cellStyle name="Followed Hyperlink" xfId="2215" builtinId="9" hidden="1"/>
    <cellStyle name="Followed Hyperlink" xfId="2217" builtinId="9" hidden="1"/>
    <cellStyle name="Followed Hyperlink" xfId="2219" builtinId="9" hidden="1"/>
    <cellStyle name="Followed Hyperlink" xfId="2221" builtinId="9" hidden="1"/>
    <cellStyle name="Followed Hyperlink" xfId="2223" builtinId="9" hidden="1"/>
    <cellStyle name="Followed Hyperlink" xfId="2225" builtinId="9" hidden="1"/>
    <cellStyle name="Followed Hyperlink" xfId="2227" builtinId="9" hidden="1"/>
    <cellStyle name="Followed Hyperlink" xfId="2229" builtinId="9" hidden="1"/>
    <cellStyle name="Followed Hyperlink" xfId="2231" builtinId="9" hidden="1"/>
    <cellStyle name="Followed Hyperlink" xfId="2233" builtinId="9" hidden="1"/>
    <cellStyle name="Followed Hyperlink" xfId="2235" builtinId="9" hidden="1"/>
    <cellStyle name="Followed Hyperlink" xfId="2237" builtinId="9" hidden="1"/>
    <cellStyle name="Followed Hyperlink" xfId="2239" builtinId="9" hidden="1"/>
    <cellStyle name="Followed Hyperlink" xfId="2241" builtinId="9" hidden="1"/>
    <cellStyle name="Followed Hyperlink" xfId="2243" builtinId="9" hidden="1"/>
    <cellStyle name="Followed Hyperlink" xfId="2245" builtinId="9" hidden="1"/>
    <cellStyle name="Followed Hyperlink" xfId="2247" builtinId="9" hidden="1"/>
    <cellStyle name="Followed Hyperlink" xfId="2249" builtinId="9" hidden="1"/>
    <cellStyle name="Followed Hyperlink" xfId="2251" builtinId="9" hidden="1"/>
    <cellStyle name="Followed Hyperlink" xfId="2253" builtinId="9" hidden="1"/>
    <cellStyle name="Followed Hyperlink" xfId="2255" builtinId="9" hidden="1"/>
    <cellStyle name="Followed Hyperlink" xfId="2257" builtinId="9" hidden="1"/>
    <cellStyle name="Followed Hyperlink" xfId="2259" builtinId="9" hidden="1"/>
    <cellStyle name="Followed Hyperlink" xfId="2261" builtinId="9" hidden="1"/>
    <cellStyle name="Followed Hyperlink" xfId="2263" builtinId="9" hidden="1"/>
    <cellStyle name="Followed Hyperlink" xfId="2265" builtinId="9" hidden="1"/>
    <cellStyle name="Followed Hyperlink" xfId="2267" builtinId="9" hidden="1"/>
    <cellStyle name="Followed Hyperlink" xfId="2269" builtinId="9" hidden="1"/>
    <cellStyle name="Followed Hyperlink" xfId="2271" builtinId="9" hidden="1"/>
    <cellStyle name="Followed Hyperlink" xfId="2273" builtinId="9" hidden="1"/>
    <cellStyle name="Followed Hyperlink" xfId="2275" builtinId="9" hidden="1"/>
    <cellStyle name="Followed Hyperlink" xfId="2277" builtinId="9" hidden="1"/>
    <cellStyle name="Followed Hyperlink" xfId="2279" builtinId="9" hidden="1"/>
    <cellStyle name="Followed Hyperlink" xfId="2281" builtinId="9" hidden="1"/>
    <cellStyle name="Followed Hyperlink" xfId="2283" builtinId="9" hidden="1"/>
    <cellStyle name="Followed Hyperlink" xfId="2285" builtinId="9" hidden="1"/>
    <cellStyle name="Followed Hyperlink" xfId="2287" builtinId="9" hidden="1"/>
    <cellStyle name="Followed Hyperlink" xfId="2289" builtinId="9" hidden="1"/>
    <cellStyle name="Followed Hyperlink" xfId="2291" builtinId="9" hidden="1"/>
    <cellStyle name="Followed Hyperlink" xfId="2293" builtinId="9" hidden="1"/>
    <cellStyle name="Followed Hyperlink" xfId="2295" builtinId="9" hidden="1"/>
    <cellStyle name="Followed Hyperlink" xfId="2297" builtinId="9" hidden="1"/>
    <cellStyle name="Followed Hyperlink" xfId="2299" builtinId="9" hidden="1"/>
    <cellStyle name="Followed Hyperlink" xfId="2301" builtinId="9" hidden="1"/>
    <cellStyle name="Followed Hyperlink" xfId="2303" builtinId="9" hidden="1"/>
    <cellStyle name="Followed Hyperlink" xfId="2305" builtinId="9" hidden="1"/>
    <cellStyle name="Followed Hyperlink" xfId="2307" builtinId="9" hidden="1"/>
    <cellStyle name="Followed Hyperlink" xfId="2309" builtinId="9" hidden="1"/>
    <cellStyle name="Followed Hyperlink" xfId="2311" builtinId="9" hidden="1"/>
    <cellStyle name="Followed Hyperlink" xfId="2313" builtinId="9" hidden="1"/>
    <cellStyle name="Followed Hyperlink" xfId="2315" builtinId="9" hidden="1"/>
    <cellStyle name="Followed Hyperlink" xfId="2317" builtinId="9" hidden="1"/>
    <cellStyle name="Followed Hyperlink" xfId="2319" builtinId="9" hidden="1"/>
    <cellStyle name="Followed Hyperlink" xfId="2321" builtinId="9" hidden="1"/>
    <cellStyle name="Followed Hyperlink" xfId="2323" builtinId="9" hidden="1"/>
    <cellStyle name="Followed Hyperlink" xfId="2325" builtinId="9" hidden="1"/>
    <cellStyle name="Followed Hyperlink" xfId="2327" builtinId="9" hidden="1"/>
    <cellStyle name="Followed Hyperlink" xfId="2329" builtinId="9" hidden="1"/>
    <cellStyle name="Followed Hyperlink" xfId="2331" builtinId="9" hidden="1"/>
    <cellStyle name="Followed Hyperlink" xfId="2333" builtinId="9" hidden="1"/>
    <cellStyle name="Followed Hyperlink" xfId="2335" builtinId="9" hidden="1"/>
    <cellStyle name="Followed Hyperlink" xfId="2337" builtinId="9" hidden="1"/>
    <cellStyle name="Followed Hyperlink" xfId="2339" builtinId="9" hidden="1"/>
    <cellStyle name="Followed Hyperlink" xfId="2341" builtinId="9" hidden="1"/>
    <cellStyle name="Followed Hyperlink" xfId="2343" builtinId="9" hidden="1"/>
    <cellStyle name="Followed Hyperlink" xfId="2345" builtinId="9" hidden="1"/>
    <cellStyle name="Followed Hyperlink" xfId="2347" builtinId="9" hidden="1"/>
    <cellStyle name="Followed Hyperlink" xfId="2349" builtinId="9" hidden="1"/>
    <cellStyle name="Followed Hyperlink" xfId="2351" builtinId="9" hidden="1"/>
    <cellStyle name="Followed Hyperlink" xfId="2353" builtinId="9" hidden="1"/>
    <cellStyle name="Followed Hyperlink" xfId="2355" builtinId="9" hidden="1"/>
    <cellStyle name="Followed Hyperlink" xfId="2357" builtinId="9" hidden="1"/>
    <cellStyle name="Followed Hyperlink" xfId="2359" builtinId="9" hidden="1"/>
    <cellStyle name="Followed Hyperlink" xfId="2361" builtinId="9" hidden="1"/>
    <cellStyle name="Followed Hyperlink" xfId="2363" builtinId="9" hidden="1"/>
    <cellStyle name="Followed Hyperlink" xfId="2365" builtinId="9" hidden="1"/>
    <cellStyle name="Followed Hyperlink" xfId="2367" builtinId="9" hidden="1"/>
    <cellStyle name="Followed Hyperlink" xfId="2369" builtinId="9" hidden="1"/>
    <cellStyle name="Followed Hyperlink" xfId="2371" builtinId="9" hidden="1"/>
    <cellStyle name="Followed Hyperlink" xfId="2373" builtinId="9" hidden="1"/>
    <cellStyle name="Followed Hyperlink" xfId="2375" builtinId="9" hidden="1"/>
    <cellStyle name="Followed Hyperlink" xfId="2377" builtinId="9" hidden="1"/>
    <cellStyle name="Followed Hyperlink" xfId="2379" builtinId="9" hidden="1"/>
    <cellStyle name="Followed Hyperlink" xfId="2381" builtinId="9" hidden="1"/>
    <cellStyle name="Followed Hyperlink" xfId="2383" builtinId="9" hidden="1"/>
    <cellStyle name="Followed Hyperlink" xfId="2385" builtinId="9" hidden="1"/>
    <cellStyle name="Followed Hyperlink" xfId="2387" builtinId="9" hidden="1"/>
    <cellStyle name="Followed Hyperlink" xfId="2389" builtinId="9" hidden="1"/>
    <cellStyle name="Followed Hyperlink" xfId="2391" builtinId="9" hidden="1"/>
    <cellStyle name="Followed Hyperlink" xfId="2393" builtinId="9" hidden="1"/>
    <cellStyle name="Followed Hyperlink" xfId="2395" builtinId="9" hidden="1"/>
    <cellStyle name="Followed Hyperlink" xfId="2397" builtinId="9" hidden="1"/>
    <cellStyle name="Followed Hyperlink" xfId="2399" builtinId="9" hidden="1"/>
    <cellStyle name="Followed Hyperlink" xfId="2401" builtinId="9" hidden="1"/>
    <cellStyle name="Followed Hyperlink" xfId="2403" builtinId="9" hidden="1"/>
    <cellStyle name="Followed Hyperlink" xfId="2405" builtinId="9" hidden="1"/>
    <cellStyle name="Followed Hyperlink" xfId="2407" builtinId="9" hidden="1"/>
    <cellStyle name="Followed Hyperlink" xfId="2409" builtinId="9" hidden="1"/>
    <cellStyle name="Followed Hyperlink" xfId="2411" builtinId="9" hidden="1"/>
    <cellStyle name="Followed Hyperlink" xfId="2413" builtinId="9" hidden="1"/>
    <cellStyle name="Followed Hyperlink" xfId="2415" builtinId="9" hidden="1"/>
    <cellStyle name="Followed Hyperlink" xfId="2417" builtinId="9" hidden="1"/>
    <cellStyle name="Followed Hyperlink" xfId="2419" builtinId="9" hidden="1"/>
    <cellStyle name="Followed Hyperlink" xfId="2421" builtinId="9" hidden="1"/>
    <cellStyle name="Followed Hyperlink" xfId="2423" builtinId="9" hidden="1"/>
    <cellStyle name="Followed Hyperlink" xfId="2425" builtinId="9" hidden="1"/>
    <cellStyle name="Followed Hyperlink" xfId="2427" builtinId="9" hidden="1"/>
    <cellStyle name="Followed Hyperlink" xfId="2429" builtinId="9" hidden="1"/>
    <cellStyle name="Followed Hyperlink" xfId="2431" builtinId="9" hidden="1"/>
    <cellStyle name="Followed Hyperlink" xfId="2433" builtinId="9" hidden="1"/>
    <cellStyle name="Followed Hyperlink" xfId="2435" builtinId="9" hidden="1"/>
    <cellStyle name="Followed Hyperlink" xfId="2437" builtinId="9" hidden="1"/>
    <cellStyle name="Followed Hyperlink" xfId="2438" builtinId="9" hidden="1"/>
    <cellStyle name="Followed Hyperlink" xfId="2439" builtinId="9" hidden="1"/>
    <cellStyle name="Followed Hyperlink" xfId="2440" builtinId="9" hidden="1"/>
    <cellStyle name="Followed Hyperlink" xfId="2441" builtinId="9" hidden="1"/>
    <cellStyle name="Followed Hyperlink" xfId="2442" builtinId="9" hidden="1"/>
    <cellStyle name="Followed Hyperlink" xfId="2443" builtinId="9" hidden="1"/>
    <cellStyle name="Followed Hyperlink" xfId="2444" builtinId="9" hidden="1"/>
    <cellStyle name="Followed Hyperlink" xfId="2445" builtinId="9" hidden="1"/>
    <cellStyle name="Followed Hyperlink" xfId="2446" builtinId="9" hidden="1"/>
    <cellStyle name="Followed Hyperlink" xfId="2447" builtinId="9" hidden="1"/>
    <cellStyle name="Followed Hyperlink" xfId="2448" builtinId="9" hidden="1"/>
    <cellStyle name="Followed Hyperlink" xfId="2449" builtinId="9" hidden="1"/>
    <cellStyle name="Followed Hyperlink" xfId="2450" builtinId="9" hidden="1"/>
    <cellStyle name="Followed Hyperlink" xfId="2451" builtinId="9" hidden="1"/>
    <cellStyle name="Followed Hyperlink" xfId="2452" builtinId="9" hidden="1"/>
    <cellStyle name="Followed Hyperlink" xfId="2453" builtinId="9" hidden="1"/>
    <cellStyle name="Followed Hyperlink" xfId="2454" builtinId="9" hidden="1"/>
    <cellStyle name="Followed Hyperlink" xfId="2455" builtinId="9" hidden="1"/>
    <cellStyle name="Followed Hyperlink" xfId="2456" builtinId="9" hidden="1"/>
    <cellStyle name="Followed Hyperlink" xfId="2457" builtinId="9" hidden="1"/>
    <cellStyle name="Followed Hyperlink" xfId="2458" builtinId="9" hidden="1"/>
    <cellStyle name="Followed Hyperlink" xfId="2459" builtinId="9" hidden="1"/>
    <cellStyle name="Followed Hyperlink" xfId="2460" builtinId="9" hidden="1"/>
    <cellStyle name="Followed Hyperlink" xfId="2461" builtinId="9" hidden="1"/>
    <cellStyle name="Followed Hyperlink" xfId="2462" builtinId="9" hidden="1"/>
    <cellStyle name="Followed Hyperlink" xfId="2463" builtinId="9" hidden="1"/>
    <cellStyle name="Followed Hyperlink" xfId="2464" builtinId="9" hidden="1"/>
    <cellStyle name="Followed Hyperlink" xfId="2465" builtinId="9" hidden="1"/>
    <cellStyle name="Followed Hyperlink" xfId="2466" builtinId="9" hidden="1"/>
    <cellStyle name="Followed Hyperlink" xfId="2467" builtinId="9" hidden="1"/>
    <cellStyle name="Followed Hyperlink" xfId="2468" builtinId="9" hidden="1"/>
    <cellStyle name="Followed Hyperlink" xfId="2469" builtinId="9" hidden="1"/>
    <cellStyle name="Followed Hyperlink" xfId="2470" builtinId="9" hidden="1"/>
    <cellStyle name="Followed Hyperlink" xfId="2471" builtinId="9" hidden="1"/>
    <cellStyle name="Followed Hyperlink" xfId="2472" builtinId="9" hidden="1"/>
    <cellStyle name="Followed Hyperlink" xfId="2473" builtinId="9" hidden="1"/>
    <cellStyle name="Followed Hyperlink" xfId="2474" builtinId="9" hidden="1"/>
    <cellStyle name="Followed Hyperlink" xfId="2475" builtinId="9" hidden="1"/>
    <cellStyle name="Followed Hyperlink" xfId="2476" builtinId="9" hidden="1"/>
    <cellStyle name="Followed Hyperlink" xfId="2477" builtinId="9" hidden="1"/>
    <cellStyle name="Followed Hyperlink" xfId="2478" builtinId="9" hidden="1"/>
    <cellStyle name="Followed Hyperlink" xfId="2479" builtinId="9" hidden="1"/>
    <cellStyle name="Followed Hyperlink" xfId="2480" builtinId="9" hidden="1"/>
    <cellStyle name="Followed Hyperlink" xfId="2481" builtinId="9" hidden="1"/>
    <cellStyle name="Followed Hyperlink" xfId="2482" builtinId="9" hidden="1"/>
    <cellStyle name="Followed Hyperlink" xfId="2483" builtinId="9" hidden="1"/>
    <cellStyle name="Followed Hyperlink" xfId="2484" builtinId="9" hidden="1"/>
    <cellStyle name="Followed Hyperlink" xfId="2485" builtinId="9" hidden="1"/>
    <cellStyle name="Followed Hyperlink" xfId="2486"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2"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Hyperlink" xfId="164" builtinId="8" hidden="1"/>
    <cellStyle name="Hyperlink" xfId="166" builtinId="8" hidden="1"/>
    <cellStyle name="Hyperlink" xfId="168" builtinId="8" hidden="1"/>
    <cellStyle name="Hyperlink" xfId="170" builtinId="8" hidden="1"/>
    <cellStyle name="Hyperlink" xfId="172" builtinId="8" hidden="1"/>
    <cellStyle name="Hyperlink" xfId="174" builtinId="8" hidden="1"/>
    <cellStyle name="Hyperlink" xfId="176" builtinId="8" hidden="1"/>
    <cellStyle name="Hyperlink" xfId="178" builtinId="8" hidden="1"/>
    <cellStyle name="Hyperlink" xfId="180" builtinId="8" hidden="1"/>
    <cellStyle name="Hyperlink" xfId="182" builtinId="8" hidden="1"/>
    <cellStyle name="Hyperlink" xfId="184" builtinId="8" hidden="1"/>
    <cellStyle name="Hyperlink" xfId="186" builtinId="8" hidden="1"/>
    <cellStyle name="Hyperlink" xfId="188" builtinId="8"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xfId="210" builtinId="8" hidden="1"/>
    <cellStyle name="Hyperlink" xfId="212" builtinId="8" hidden="1"/>
    <cellStyle name="Hyperlink" xfId="214" builtinId="8" hidden="1"/>
    <cellStyle name="Hyperlink" xfId="216" builtinId="8" hidden="1"/>
    <cellStyle name="Hyperlink" xfId="218" builtinId="8" hidden="1"/>
    <cellStyle name="Hyperlink" xfId="220" builtinId="8" hidden="1"/>
    <cellStyle name="Hyperlink" xfId="222" builtinId="8" hidden="1"/>
    <cellStyle name="Hyperlink" xfId="224" builtinId="8" hidden="1"/>
    <cellStyle name="Hyperlink" xfId="226" builtinId="8" hidden="1"/>
    <cellStyle name="Hyperlink" xfId="228" builtinId="8" hidden="1"/>
    <cellStyle name="Hyperlink" xfId="230" builtinId="8" hidden="1"/>
    <cellStyle name="Hyperlink" xfId="232" builtinId="8" hidden="1"/>
    <cellStyle name="Hyperlink" xfId="234" builtinId="8" hidden="1"/>
    <cellStyle name="Hyperlink" xfId="236"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Hyperlink" xfId="659" builtinId="8" hidden="1"/>
    <cellStyle name="Hyperlink" xfId="661" builtinId="8" hidden="1"/>
    <cellStyle name="Hyperlink" xfId="663" builtinId="8" hidden="1"/>
    <cellStyle name="Hyperlink" xfId="665" builtinId="8" hidden="1"/>
    <cellStyle name="Hyperlink" xfId="667" builtinId="8" hidden="1"/>
    <cellStyle name="Hyperlink" xfId="669" builtinId="8" hidden="1"/>
    <cellStyle name="Hyperlink" xfId="671" builtinId="8" hidden="1"/>
    <cellStyle name="Hyperlink" xfId="673" builtinId="8" hidden="1"/>
    <cellStyle name="Hyperlink" xfId="675" builtinId="8" hidden="1"/>
    <cellStyle name="Hyperlink" xfId="677" builtinId="8" hidden="1"/>
    <cellStyle name="Hyperlink" xfId="679" builtinId="8" hidden="1"/>
    <cellStyle name="Hyperlink" xfId="681" builtinId="8" hidden="1"/>
    <cellStyle name="Hyperlink" xfId="683" builtinId="8" hidden="1"/>
    <cellStyle name="Hyperlink" xfId="685" builtinId="8" hidden="1"/>
    <cellStyle name="Hyperlink" xfId="687" builtinId="8" hidden="1"/>
    <cellStyle name="Hyperlink" xfId="689" builtinId="8" hidden="1"/>
    <cellStyle name="Hyperlink" xfId="691" builtinId="8" hidden="1"/>
    <cellStyle name="Hyperlink" xfId="693" builtinId="8" hidden="1"/>
    <cellStyle name="Hyperlink" xfId="695" builtinId="8" hidden="1"/>
    <cellStyle name="Hyperlink" xfId="697" builtinId="8" hidden="1"/>
    <cellStyle name="Hyperlink" xfId="699" builtinId="8" hidden="1"/>
    <cellStyle name="Hyperlink" xfId="701" builtinId="8" hidden="1"/>
    <cellStyle name="Hyperlink" xfId="703" builtinId="8" hidden="1"/>
    <cellStyle name="Hyperlink" xfId="705" builtinId="8" hidden="1"/>
    <cellStyle name="Hyperlink" xfId="707" builtinId="8" hidden="1"/>
    <cellStyle name="Hyperlink" xfId="709" builtinId="8" hidden="1"/>
    <cellStyle name="Hyperlink" xfId="711" builtinId="8" hidden="1"/>
    <cellStyle name="Hyperlink" xfId="713" builtinId="8" hidden="1"/>
    <cellStyle name="Hyperlink" xfId="715" builtinId="8" hidden="1"/>
    <cellStyle name="Hyperlink" xfId="717" builtinId="8" hidden="1"/>
    <cellStyle name="Hyperlink" xfId="719" builtinId="8" hidden="1"/>
    <cellStyle name="Hyperlink" xfId="721" builtinId="8" hidden="1"/>
    <cellStyle name="Hyperlink" xfId="723" builtinId="8" hidden="1"/>
    <cellStyle name="Hyperlink" xfId="725" builtinId="8" hidden="1"/>
    <cellStyle name="Hyperlink" xfId="727" builtinId="8" hidden="1"/>
    <cellStyle name="Hyperlink" xfId="729" builtinId="8" hidden="1"/>
    <cellStyle name="Hyperlink" xfId="731" builtinId="8" hidden="1"/>
    <cellStyle name="Hyperlink" xfId="733" builtinId="8" hidden="1"/>
    <cellStyle name="Hyperlink" xfId="735" builtinId="8" hidden="1"/>
    <cellStyle name="Hyperlink" xfId="737" builtinId="8" hidden="1"/>
    <cellStyle name="Hyperlink" xfId="739" builtinId="8" hidden="1"/>
    <cellStyle name="Hyperlink" xfId="741" builtinId="8" hidden="1"/>
    <cellStyle name="Hyperlink" xfId="743" builtinId="8" hidden="1"/>
    <cellStyle name="Hyperlink" xfId="745" builtinId="8" hidden="1"/>
    <cellStyle name="Hyperlink" xfId="747" builtinId="8" hidden="1"/>
    <cellStyle name="Hyperlink" xfId="749" builtinId="8" hidden="1"/>
    <cellStyle name="Hyperlink" xfId="751" builtinId="8" hidden="1"/>
    <cellStyle name="Hyperlink" xfId="753" builtinId="8" hidden="1"/>
    <cellStyle name="Hyperlink" xfId="755" builtinId="8" hidden="1"/>
    <cellStyle name="Hyperlink" xfId="757" builtinId="8" hidden="1"/>
    <cellStyle name="Hyperlink" xfId="759" builtinId="8" hidden="1"/>
    <cellStyle name="Hyperlink" xfId="761" builtinId="8" hidden="1"/>
    <cellStyle name="Hyperlink" xfId="763" builtinId="8" hidden="1"/>
    <cellStyle name="Hyperlink" xfId="765" builtinId="8" hidden="1"/>
    <cellStyle name="Hyperlink" xfId="767" builtinId="8" hidden="1"/>
    <cellStyle name="Hyperlink" xfId="769" builtinId="8" hidden="1"/>
    <cellStyle name="Hyperlink" xfId="771" builtinId="8" hidden="1"/>
    <cellStyle name="Hyperlink" xfId="773" builtinId="8" hidden="1"/>
    <cellStyle name="Hyperlink" xfId="775" builtinId="8" hidden="1"/>
    <cellStyle name="Hyperlink" xfId="777" builtinId="8" hidden="1"/>
    <cellStyle name="Hyperlink" xfId="779" builtinId="8" hidden="1"/>
    <cellStyle name="Hyperlink" xfId="781" builtinId="8" hidden="1"/>
    <cellStyle name="Hyperlink" xfId="783" builtinId="8" hidden="1"/>
    <cellStyle name="Hyperlink" xfId="785" builtinId="8" hidden="1"/>
    <cellStyle name="Hyperlink" xfId="787" builtinId="8" hidden="1"/>
    <cellStyle name="Hyperlink" xfId="789" builtinId="8" hidden="1"/>
    <cellStyle name="Hyperlink" xfId="791" builtinId="8" hidden="1"/>
    <cellStyle name="Hyperlink" xfId="793" builtinId="8" hidden="1"/>
    <cellStyle name="Hyperlink" xfId="795" builtinId="8" hidden="1"/>
    <cellStyle name="Hyperlink" xfId="797" builtinId="8" hidden="1"/>
    <cellStyle name="Hyperlink" xfId="799" builtinId="8" hidden="1"/>
    <cellStyle name="Hyperlink" xfId="801" builtinId="8" hidden="1"/>
    <cellStyle name="Hyperlink" xfId="803" builtinId="8" hidden="1"/>
    <cellStyle name="Hyperlink" xfId="805" builtinId="8" hidden="1"/>
    <cellStyle name="Hyperlink" xfId="807" builtinId="8" hidden="1"/>
    <cellStyle name="Hyperlink" xfId="809" builtinId="8" hidden="1"/>
    <cellStyle name="Hyperlink" xfId="811" builtinId="8" hidden="1"/>
    <cellStyle name="Hyperlink" xfId="813" builtinId="8" hidden="1"/>
    <cellStyle name="Hyperlink" xfId="815" builtinId="8" hidden="1"/>
    <cellStyle name="Hyperlink" xfId="817" builtinId="8" hidden="1"/>
    <cellStyle name="Hyperlink" xfId="819" builtinId="8" hidden="1"/>
    <cellStyle name="Hyperlink" xfId="821" builtinId="8" hidden="1"/>
    <cellStyle name="Hyperlink" xfId="823" builtinId="8" hidden="1"/>
    <cellStyle name="Hyperlink" xfId="825" builtinId="8" hidden="1"/>
    <cellStyle name="Hyperlink" xfId="827" builtinId="8" hidden="1"/>
    <cellStyle name="Hyperlink" xfId="829" builtinId="8" hidden="1"/>
    <cellStyle name="Hyperlink" xfId="831" builtinId="8" hidden="1"/>
    <cellStyle name="Hyperlink" xfId="833" builtinId="8" hidden="1"/>
    <cellStyle name="Hyperlink" xfId="835" builtinId="8" hidden="1"/>
    <cellStyle name="Hyperlink" xfId="837" builtinId="8" hidden="1"/>
    <cellStyle name="Hyperlink" xfId="839" builtinId="8" hidden="1"/>
    <cellStyle name="Hyperlink" xfId="841" builtinId="8" hidden="1"/>
    <cellStyle name="Hyperlink" xfId="843" builtinId="8" hidden="1"/>
    <cellStyle name="Hyperlink" xfId="845" builtinId="8" hidden="1"/>
    <cellStyle name="Hyperlink" xfId="847" builtinId="8" hidden="1"/>
    <cellStyle name="Hyperlink" xfId="849" builtinId="8" hidden="1"/>
    <cellStyle name="Hyperlink" xfId="851" builtinId="8" hidden="1"/>
    <cellStyle name="Hyperlink" xfId="853" builtinId="8" hidden="1"/>
    <cellStyle name="Hyperlink" xfId="855" builtinId="8" hidden="1"/>
    <cellStyle name="Hyperlink" xfId="857" builtinId="8" hidden="1"/>
    <cellStyle name="Hyperlink" xfId="859" builtinId="8" hidden="1"/>
    <cellStyle name="Hyperlink" xfId="861" builtinId="8" hidden="1"/>
    <cellStyle name="Hyperlink" xfId="863" builtinId="8" hidden="1"/>
    <cellStyle name="Hyperlink" xfId="865" builtinId="8" hidden="1"/>
    <cellStyle name="Hyperlink" xfId="867" builtinId="8" hidden="1"/>
    <cellStyle name="Hyperlink" xfId="869" builtinId="8" hidden="1"/>
    <cellStyle name="Hyperlink" xfId="871" builtinId="8" hidden="1"/>
    <cellStyle name="Hyperlink" xfId="873" builtinId="8" hidden="1"/>
    <cellStyle name="Hyperlink" xfId="875" builtinId="8" hidden="1"/>
    <cellStyle name="Hyperlink" xfId="877" builtinId="8" hidden="1"/>
    <cellStyle name="Hyperlink" xfId="879" builtinId="8" hidden="1"/>
    <cellStyle name="Hyperlink" xfId="881" builtinId="8" hidden="1"/>
    <cellStyle name="Hyperlink" xfId="883" builtinId="8" hidden="1"/>
    <cellStyle name="Hyperlink" xfId="885" builtinId="8" hidden="1"/>
    <cellStyle name="Hyperlink" xfId="887" builtinId="8" hidden="1"/>
    <cellStyle name="Hyperlink" xfId="889" builtinId="8" hidden="1"/>
    <cellStyle name="Hyperlink" xfId="891" builtinId="8" hidden="1"/>
    <cellStyle name="Hyperlink" xfId="893" builtinId="8" hidden="1"/>
    <cellStyle name="Hyperlink" xfId="895" builtinId="8" hidden="1"/>
    <cellStyle name="Hyperlink" xfId="897" builtinId="8" hidden="1"/>
    <cellStyle name="Hyperlink" xfId="899" builtinId="8" hidden="1"/>
    <cellStyle name="Hyperlink" xfId="901" builtinId="8" hidden="1"/>
    <cellStyle name="Hyperlink" xfId="903" builtinId="8" hidden="1"/>
    <cellStyle name="Hyperlink" xfId="905" builtinId="8" hidden="1"/>
    <cellStyle name="Hyperlink" xfId="907" builtinId="8" hidden="1"/>
    <cellStyle name="Hyperlink" xfId="909" builtinId="8" hidden="1"/>
    <cellStyle name="Hyperlink" xfId="911" builtinId="8" hidden="1"/>
    <cellStyle name="Hyperlink" xfId="913" builtinId="8" hidden="1"/>
    <cellStyle name="Hyperlink" xfId="915" builtinId="8" hidden="1"/>
    <cellStyle name="Hyperlink" xfId="917" builtinId="8" hidden="1"/>
    <cellStyle name="Hyperlink" xfId="919" builtinId="8" hidden="1"/>
    <cellStyle name="Hyperlink" xfId="921" builtinId="8" hidden="1"/>
    <cellStyle name="Hyperlink" xfId="923" builtinId="8" hidden="1"/>
    <cellStyle name="Hyperlink" xfId="925" builtinId="8" hidden="1"/>
    <cellStyle name="Hyperlink" xfId="927" builtinId="8" hidden="1"/>
    <cellStyle name="Hyperlink" xfId="929" builtinId="8" hidden="1"/>
    <cellStyle name="Hyperlink" xfId="931" builtinId="8" hidden="1"/>
    <cellStyle name="Hyperlink" xfId="933" builtinId="8" hidden="1"/>
    <cellStyle name="Hyperlink" xfId="935" builtinId="8" hidden="1"/>
    <cellStyle name="Hyperlink" xfId="937" builtinId="8" hidden="1"/>
    <cellStyle name="Hyperlink" xfId="939" builtinId="8" hidden="1"/>
    <cellStyle name="Hyperlink" xfId="941" builtinId="8" hidden="1"/>
    <cellStyle name="Hyperlink" xfId="943" builtinId="8" hidden="1"/>
    <cellStyle name="Hyperlink" xfId="945" builtinId="8" hidden="1"/>
    <cellStyle name="Hyperlink" xfId="947" builtinId="8" hidden="1"/>
    <cellStyle name="Hyperlink" xfId="949" builtinId="8" hidden="1"/>
    <cellStyle name="Hyperlink" xfId="951" builtinId="8" hidden="1"/>
    <cellStyle name="Hyperlink" xfId="953" builtinId="8" hidden="1"/>
    <cellStyle name="Hyperlink" xfId="955" builtinId="8" hidden="1"/>
    <cellStyle name="Hyperlink" xfId="957" builtinId="8" hidden="1"/>
    <cellStyle name="Hyperlink" xfId="959" builtinId="8" hidden="1"/>
    <cellStyle name="Hyperlink" xfId="961" builtinId="8" hidden="1"/>
    <cellStyle name="Hyperlink" xfId="963" builtinId="8" hidden="1"/>
    <cellStyle name="Hyperlink" xfId="965" builtinId="8" hidden="1"/>
    <cellStyle name="Hyperlink" xfId="967" builtinId="8" hidden="1"/>
    <cellStyle name="Hyperlink" xfId="969" builtinId="8" hidden="1"/>
    <cellStyle name="Hyperlink" xfId="971" builtinId="8" hidden="1"/>
    <cellStyle name="Hyperlink" xfId="973" builtinId="8" hidden="1"/>
    <cellStyle name="Hyperlink" xfId="975" builtinId="8" hidden="1"/>
    <cellStyle name="Hyperlink" xfId="977" builtinId="8" hidden="1"/>
    <cellStyle name="Hyperlink" xfId="979" builtinId="8" hidden="1"/>
    <cellStyle name="Hyperlink" xfId="981" builtinId="8" hidden="1"/>
    <cellStyle name="Hyperlink" xfId="983" builtinId="8" hidden="1"/>
    <cellStyle name="Hyperlink" xfId="985" builtinId="8" hidden="1"/>
    <cellStyle name="Hyperlink" xfId="987" builtinId="8" hidden="1"/>
    <cellStyle name="Hyperlink" xfId="989" builtinId="8" hidden="1"/>
    <cellStyle name="Hyperlink" xfId="991" builtinId="8" hidden="1"/>
    <cellStyle name="Hyperlink" xfId="993" builtinId="8" hidden="1"/>
    <cellStyle name="Hyperlink" xfId="995" builtinId="8" hidden="1"/>
    <cellStyle name="Hyperlink" xfId="997" builtinId="8" hidden="1"/>
    <cellStyle name="Hyperlink" xfId="999" builtinId="8" hidden="1"/>
    <cellStyle name="Hyperlink" xfId="1001" builtinId="8" hidden="1"/>
    <cellStyle name="Hyperlink" xfId="1003" builtinId="8" hidden="1"/>
    <cellStyle name="Hyperlink" xfId="1005" builtinId="8" hidden="1"/>
    <cellStyle name="Hyperlink" xfId="1007" builtinId="8" hidden="1"/>
    <cellStyle name="Hyperlink" xfId="1009" builtinId="8" hidden="1"/>
    <cellStyle name="Hyperlink" xfId="1011" builtinId="8" hidden="1"/>
    <cellStyle name="Hyperlink" xfId="1013" builtinId="8" hidden="1"/>
    <cellStyle name="Hyperlink" xfId="1015" builtinId="8" hidden="1"/>
    <cellStyle name="Hyperlink" xfId="1017" builtinId="8" hidden="1"/>
    <cellStyle name="Hyperlink" xfId="1019" builtinId="8" hidden="1"/>
    <cellStyle name="Hyperlink" xfId="1021" builtinId="8" hidden="1"/>
    <cellStyle name="Hyperlink" xfId="1023" builtinId="8" hidden="1"/>
    <cellStyle name="Hyperlink" xfId="1025" builtinId="8" hidden="1"/>
    <cellStyle name="Hyperlink" xfId="1027" builtinId="8" hidden="1"/>
    <cellStyle name="Hyperlink" xfId="1029" builtinId="8" hidden="1"/>
    <cellStyle name="Hyperlink" xfId="1031" builtinId="8" hidden="1"/>
    <cellStyle name="Hyperlink" xfId="1033" builtinId="8" hidden="1"/>
    <cellStyle name="Hyperlink" xfId="1035" builtinId="8" hidden="1"/>
    <cellStyle name="Hyperlink" xfId="1037" builtinId="8" hidden="1"/>
    <cellStyle name="Hyperlink" xfId="1039" builtinId="8" hidden="1"/>
    <cellStyle name="Hyperlink" xfId="1041" builtinId="8" hidden="1"/>
    <cellStyle name="Hyperlink" xfId="1043" builtinId="8" hidden="1"/>
    <cellStyle name="Hyperlink" xfId="1045" builtinId="8" hidden="1"/>
    <cellStyle name="Hyperlink" xfId="1047" builtinId="8" hidden="1"/>
    <cellStyle name="Hyperlink" xfId="1049" builtinId="8" hidden="1"/>
    <cellStyle name="Hyperlink" xfId="1051" builtinId="8" hidden="1"/>
    <cellStyle name="Hyperlink" xfId="1053" builtinId="8" hidden="1"/>
    <cellStyle name="Hyperlink" xfId="1055" builtinId="8" hidden="1"/>
    <cellStyle name="Hyperlink" xfId="1057" builtinId="8" hidden="1"/>
    <cellStyle name="Hyperlink" xfId="1059" builtinId="8" hidden="1"/>
    <cellStyle name="Hyperlink" xfId="1061" builtinId="8" hidden="1"/>
    <cellStyle name="Hyperlink" xfId="1063" builtinId="8" hidden="1"/>
    <cellStyle name="Hyperlink" xfId="1065" builtinId="8" hidden="1"/>
    <cellStyle name="Hyperlink" xfId="1067" builtinId="8" hidden="1"/>
    <cellStyle name="Hyperlink" xfId="1069" builtinId="8" hidden="1"/>
    <cellStyle name="Hyperlink" xfId="1071" builtinId="8" hidden="1"/>
    <cellStyle name="Hyperlink" xfId="1073" builtinId="8" hidden="1"/>
    <cellStyle name="Hyperlink" xfId="1075" builtinId="8" hidden="1"/>
    <cellStyle name="Hyperlink" xfId="1077" builtinId="8" hidden="1"/>
    <cellStyle name="Hyperlink" xfId="1079" builtinId="8" hidden="1"/>
    <cellStyle name="Hyperlink" xfId="1081" builtinId="8" hidden="1"/>
    <cellStyle name="Hyperlink" xfId="1083" builtinId="8" hidden="1"/>
    <cellStyle name="Hyperlink" xfId="1085" builtinId="8" hidden="1"/>
    <cellStyle name="Hyperlink" xfId="1087" builtinId="8" hidden="1"/>
    <cellStyle name="Hyperlink" xfId="1089" builtinId="8" hidden="1"/>
    <cellStyle name="Hyperlink" xfId="1091" builtinId="8" hidden="1"/>
    <cellStyle name="Hyperlink" xfId="1093" builtinId="8" hidden="1"/>
    <cellStyle name="Hyperlink" xfId="1095" builtinId="8" hidden="1"/>
    <cellStyle name="Hyperlink" xfId="1097" builtinId="8" hidden="1"/>
    <cellStyle name="Hyperlink" xfId="1099" builtinId="8" hidden="1"/>
    <cellStyle name="Hyperlink" xfId="1101" builtinId="8" hidden="1"/>
    <cellStyle name="Hyperlink" xfId="1103" builtinId="8" hidden="1"/>
    <cellStyle name="Hyperlink" xfId="1105" builtinId="8" hidden="1"/>
    <cellStyle name="Hyperlink" xfId="1107" builtinId="8" hidden="1"/>
    <cellStyle name="Hyperlink" xfId="1109" builtinId="8" hidden="1"/>
    <cellStyle name="Hyperlink" xfId="1111" builtinId="8" hidden="1"/>
    <cellStyle name="Hyperlink" xfId="1113" builtinId="8" hidden="1"/>
    <cellStyle name="Hyperlink" xfId="1115" builtinId="8" hidden="1"/>
    <cellStyle name="Hyperlink" xfId="1117" builtinId="8" hidden="1"/>
    <cellStyle name="Hyperlink" xfId="1119" builtinId="8" hidden="1"/>
    <cellStyle name="Hyperlink" xfId="1121" builtinId="8" hidden="1"/>
    <cellStyle name="Hyperlink" xfId="1123" builtinId="8" hidden="1"/>
    <cellStyle name="Hyperlink" xfId="1125" builtinId="8" hidden="1"/>
    <cellStyle name="Hyperlink" xfId="1127" builtinId="8" hidden="1"/>
    <cellStyle name="Hyperlink" xfId="1129" builtinId="8" hidden="1"/>
    <cellStyle name="Hyperlink" xfId="1131" builtinId="8" hidden="1"/>
    <cellStyle name="Hyperlink" xfId="1133" builtinId="8" hidden="1"/>
    <cellStyle name="Hyperlink" xfId="1135" builtinId="8" hidden="1"/>
    <cellStyle name="Hyperlink" xfId="1137" builtinId="8" hidden="1"/>
    <cellStyle name="Hyperlink" xfId="1139" builtinId="8" hidden="1"/>
    <cellStyle name="Hyperlink" xfId="1141" builtinId="8" hidden="1"/>
    <cellStyle name="Hyperlink" xfId="1143" builtinId="8" hidden="1"/>
    <cellStyle name="Hyperlink" xfId="1145" builtinId="8" hidden="1"/>
    <cellStyle name="Hyperlink" xfId="1147" builtinId="8" hidden="1"/>
    <cellStyle name="Hyperlink" xfId="1149" builtinId="8" hidden="1"/>
    <cellStyle name="Hyperlink" xfId="1151" builtinId="8" hidden="1"/>
    <cellStyle name="Hyperlink" xfId="1153" builtinId="8" hidden="1"/>
    <cellStyle name="Hyperlink" xfId="1155" builtinId="8" hidden="1"/>
    <cellStyle name="Hyperlink" xfId="1157" builtinId="8" hidden="1"/>
    <cellStyle name="Hyperlink" xfId="1159" builtinId="8" hidden="1"/>
    <cellStyle name="Hyperlink" xfId="1161" builtinId="8" hidden="1"/>
    <cellStyle name="Hyperlink" xfId="1163" builtinId="8" hidden="1"/>
    <cellStyle name="Hyperlink" xfId="1165" builtinId="8" hidden="1"/>
    <cellStyle name="Hyperlink" xfId="1167" builtinId="8" hidden="1"/>
    <cellStyle name="Hyperlink" xfId="1169" builtinId="8" hidden="1"/>
    <cellStyle name="Hyperlink" xfId="1171" builtinId="8" hidden="1"/>
    <cellStyle name="Hyperlink" xfId="1173" builtinId="8" hidden="1"/>
    <cellStyle name="Hyperlink" xfId="1175" builtinId="8" hidden="1"/>
    <cellStyle name="Hyperlink" xfId="1177" builtinId="8" hidden="1"/>
    <cellStyle name="Hyperlink" xfId="1179" builtinId="8" hidden="1"/>
    <cellStyle name="Hyperlink" xfId="1181" builtinId="8" hidden="1"/>
    <cellStyle name="Hyperlink" xfId="1183" builtinId="8" hidden="1"/>
    <cellStyle name="Hyperlink" xfId="1185" builtinId="8" hidden="1"/>
    <cellStyle name="Hyperlink" xfId="1187" builtinId="8" hidden="1"/>
    <cellStyle name="Hyperlink" xfId="1189" builtinId="8" hidden="1"/>
    <cellStyle name="Hyperlink" xfId="1191" builtinId="8" hidden="1"/>
    <cellStyle name="Hyperlink" xfId="1193" builtinId="8" hidden="1"/>
    <cellStyle name="Hyperlink" xfId="1195" builtinId="8" hidden="1"/>
    <cellStyle name="Hyperlink" xfId="1197" builtinId="8" hidden="1"/>
    <cellStyle name="Hyperlink" xfId="1199" builtinId="8" hidden="1"/>
    <cellStyle name="Hyperlink" xfId="1201" builtinId="8" hidden="1"/>
    <cellStyle name="Hyperlink" xfId="1203" builtinId="8" hidden="1"/>
    <cellStyle name="Hyperlink" xfId="1205" builtinId="8" hidden="1"/>
    <cellStyle name="Hyperlink" xfId="1207" builtinId="8" hidden="1"/>
    <cellStyle name="Hyperlink" xfId="1209" builtinId="8" hidden="1"/>
    <cellStyle name="Hyperlink" xfId="1211" builtinId="8" hidden="1"/>
    <cellStyle name="Hyperlink" xfId="1213" builtinId="8" hidden="1"/>
    <cellStyle name="Hyperlink" xfId="1215" builtinId="8" hidden="1"/>
    <cellStyle name="Hyperlink" xfId="1217" builtinId="8" hidden="1"/>
    <cellStyle name="Hyperlink" xfId="1219" builtinId="8" hidden="1"/>
    <cellStyle name="Hyperlink" xfId="1221" builtinId="8" hidden="1"/>
    <cellStyle name="Hyperlink" xfId="1223" builtinId="8" hidden="1"/>
    <cellStyle name="Hyperlink" xfId="1225" builtinId="8" hidden="1"/>
    <cellStyle name="Hyperlink" xfId="1227" builtinId="8" hidden="1"/>
    <cellStyle name="Hyperlink" xfId="1229" builtinId="8" hidden="1"/>
    <cellStyle name="Hyperlink" xfId="1231" builtinId="8" hidden="1"/>
    <cellStyle name="Hyperlink" xfId="1233" builtinId="8" hidden="1"/>
    <cellStyle name="Hyperlink" xfId="1235" builtinId="8" hidden="1"/>
    <cellStyle name="Hyperlink" xfId="1237" builtinId="8" hidden="1"/>
    <cellStyle name="Hyperlink" xfId="1239" builtinId="8" hidden="1"/>
    <cellStyle name="Hyperlink" xfId="1241" builtinId="8" hidden="1"/>
    <cellStyle name="Hyperlink" xfId="1243" builtinId="8" hidden="1"/>
    <cellStyle name="Hyperlink" xfId="1245" builtinId="8" hidden="1"/>
    <cellStyle name="Hyperlink" xfId="1247" builtinId="8" hidden="1"/>
    <cellStyle name="Hyperlink" xfId="1249" builtinId="8" hidden="1"/>
    <cellStyle name="Hyperlink" xfId="1251" builtinId="8" hidden="1"/>
    <cellStyle name="Hyperlink" xfId="1253" builtinId="8" hidden="1"/>
    <cellStyle name="Hyperlink" xfId="1255" builtinId="8" hidden="1"/>
    <cellStyle name="Hyperlink" xfId="1257" builtinId="8" hidden="1"/>
    <cellStyle name="Hyperlink" xfId="1259" builtinId="8" hidden="1"/>
    <cellStyle name="Hyperlink" xfId="1261" builtinId="8" hidden="1"/>
    <cellStyle name="Hyperlink" xfId="1263" builtinId="8" hidden="1"/>
    <cellStyle name="Hyperlink" xfId="1265" builtinId="8" hidden="1"/>
    <cellStyle name="Hyperlink" xfId="1267" builtinId="8" hidden="1"/>
    <cellStyle name="Hyperlink" xfId="1269" builtinId="8" hidden="1"/>
    <cellStyle name="Hyperlink" xfId="1271" builtinId="8" hidden="1"/>
    <cellStyle name="Hyperlink" xfId="1273" builtinId="8" hidden="1"/>
    <cellStyle name="Hyperlink" xfId="1275" builtinId="8" hidden="1"/>
    <cellStyle name="Hyperlink" xfId="1277" builtinId="8" hidden="1"/>
    <cellStyle name="Hyperlink" xfId="1279" builtinId="8" hidden="1"/>
    <cellStyle name="Hyperlink" xfId="1281" builtinId="8" hidden="1"/>
    <cellStyle name="Hyperlink" xfId="1283" builtinId="8" hidden="1"/>
    <cellStyle name="Hyperlink" xfId="1285" builtinId="8" hidden="1"/>
    <cellStyle name="Hyperlink" xfId="1287" builtinId="8" hidden="1"/>
    <cellStyle name="Hyperlink" xfId="1289" builtinId="8" hidden="1"/>
    <cellStyle name="Hyperlink" xfId="1291" builtinId="8" hidden="1"/>
    <cellStyle name="Hyperlink" xfId="1293" builtinId="8" hidden="1"/>
    <cellStyle name="Hyperlink" xfId="1295" builtinId="8" hidden="1"/>
    <cellStyle name="Hyperlink" xfId="1297" builtinId="8" hidden="1"/>
    <cellStyle name="Hyperlink" xfId="1299" builtinId="8" hidden="1"/>
    <cellStyle name="Hyperlink" xfId="1301" builtinId="8" hidden="1"/>
    <cellStyle name="Hyperlink" xfId="1303" builtinId="8" hidden="1"/>
    <cellStyle name="Hyperlink" xfId="1305" builtinId="8" hidden="1"/>
    <cellStyle name="Hyperlink" xfId="1307" builtinId="8" hidden="1"/>
    <cellStyle name="Hyperlink" xfId="1309" builtinId="8" hidden="1"/>
    <cellStyle name="Hyperlink" xfId="1311" builtinId="8" hidden="1"/>
    <cellStyle name="Hyperlink" xfId="1313" builtinId="8" hidden="1"/>
    <cellStyle name="Hyperlink" xfId="1315" builtinId="8" hidden="1"/>
    <cellStyle name="Hyperlink" xfId="1317" builtinId="8" hidden="1"/>
    <cellStyle name="Hyperlink" xfId="1319" builtinId="8" hidden="1"/>
    <cellStyle name="Hyperlink" xfId="1321" builtinId="8" hidden="1"/>
    <cellStyle name="Hyperlink" xfId="1323" builtinId="8" hidden="1"/>
    <cellStyle name="Hyperlink" xfId="1325" builtinId="8" hidden="1"/>
    <cellStyle name="Hyperlink" xfId="1327" builtinId="8" hidden="1"/>
    <cellStyle name="Hyperlink" xfId="1329" builtinId="8" hidden="1"/>
    <cellStyle name="Hyperlink" xfId="1331" builtinId="8" hidden="1"/>
    <cellStyle name="Hyperlink" xfId="1333" builtinId="8" hidden="1"/>
    <cellStyle name="Hyperlink" xfId="1335" builtinId="8" hidden="1"/>
    <cellStyle name="Hyperlink" xfId="1337" builtinId="8" hidden="1"/>
    <cellStyle name="Hyperlink" xfId="1339" builtinId="8" hidden="1"/>
    <cellStyle name="Hyperlink" xfId="1341" builtinId="8" hidden="1"/>
    <cellStyle name="Hyperlink" xfId="1343" builtinId="8" hidden="1"/>
    <cellStyle name="Hyperlink" xfId="1345" builtinId="8" hidden="1"/>
    <cellStyle name="Hyperlink" xfId="1347" builtinId="8" hidden="1"/>
    <cellStyle name="Hyperlink" xfId="1349" builtinId="8" hidden="1"/>
    <cellStyle name="Hyperlink" xfId="1351" builtinId="8" hidden="1"/>
    <cellStyle name="Hyperlink" xfId="1353" builtinId="8" hidden="1"/>
    <cellStyle name="Hyperlink" xfId="1355" builtinId="8" hidden="1"/>
    <cellStyle name="Hyperlink" xfId="1357" builtinId="8" hidden="1"/>
    <cellStyle name="Hyperlink" xfId="1359" builtinId="8" hidden="1"/>
    <cellStyle name="Hyperlink" xfId="1361" builtinId="8" hidden="1"/>
    <cellStyle name="Hyperlink" xfId="1363" builtinId="8" hidden="1"/>
    <cellStyle name="Hyperlink" xfId="1365" builtinId="8" hidden="1"/>
    <cellStyle name="Hyperlink" xfId="1367" builtinId="8" hidden="1"/>
    <cellStyle name="Hyperlink" xfId="1369" builtinId="8" hidden="1"/>
    <cellStyle name="Hyperlink" xfId="1371" builtinId="8" hidden="1"/>
    <cellStyle name="Hyperlink" xfId="1373" builtinId="8" hidden="1"/>
    <cellStyle name="Hyperlink" xfId="1375" builtinId="8" hidden="1"/>
    <cellStyle name="Hyperlink" xfId="1377" builtinId="8" hidden="1"/>
    <cellStyle name="Hyperlink" xfId="1379" builtinId="8" hidden="1"/>
    <cellStyle name="Hyperlink" xfId="1381" builtinId="8" hidden="1"/>
    <cellStyle name="Hyperlink" xfId="1383" builtinId="8" hidden="1"/>
    <cellStyle name="Hyperlink" xfId="1385" builtinId="8" hidden="1"/>
    <cellStyle name="Hyperlink" xfId="1387" builtinId="8" hidden="1"/>
    <cellStyle name="Hyperlink" xfId="1389" builtinId="8" hidden="1"/>
    <cellStyle name="Hyperlink" xfId="1391" builtinId="8" hidden="1"/>
    <cellStyle name="Hyperlink" xfId="1393" builtinId="8" hidden="1"/>
    <cellStyle name="Hyperlink" xfId="1395" builtinId="8" hidden="1"/>
    <cellStyle name="Hyperlink" xfId="1397" builtinId="8" hidden="1"/>
    <cellStyle name="Hyperlink" xfId="1399" builtinId="8" hidden="1"/>
    <cellStyle name="Hyperlink" xfId="1401" builtinId="8" hidden="1"/>
    <cellStyle name="Hyperlink" xfId="1403" builtinId="8" hidden="1"/>
    <cellStyle name="Hyperlink" xfId="1405" builtinId="8" hidden="1"/>
    <cellStyle name="Hyperlink" xfId="1407" builtinId="8" hidden="1"/>
    <cellStyle name="Hyperlink" xfId="1409" builtinId="8" hidden="1"/>
    <cellStyle name="Hyperlink" xfId="1411" builtinId="8" hidden="1"/>
    <cellStyle name="Hyperlink" xfId="1413" builtinId="8" hidden="1"/>
    <cellStyle name="Hyperlink" xfId="1415" builtinId="8" hidden="1"/>
    <cellStyle name="Hyperlink" xfId="1417" builtinId="8" hidden="1"/>
    <cellStyle name="Hyperlink" xfId="1419" builtinId="8" hidden="1"/>
    <cellStyle name="Hyperlink" xfId="1421" builtinId="8" hidden="1"/>
    <cellStyle name="Hyperlink" xfId="1423" builtinId="8" hidden="1"/>
    <cellStyle name="Hyperlink" xfId="1425" builtinId="8" hidden="1"/>
    <cellStyle name="Hyperlink" xfId="1427" builtinId="8" hidden="1"/>
    <cellStyle name="Hyperlink" xfId="1429" builtinId="8" hidden="1"/>
    <cellStyle name="Hyperlink" xfId="1431" builtinId="8" hidden="1"/>
    <cellStyle name="Hyperlink" xfId="1433" builtinId="8" hidden="1"/>
    <cellStyle name="Hyperlink" xfId="1435" builtinId="8" hidden="1"/>
    <cellStyle name="Hyperlink" xfId="1437" builtinId="8" hidden="1"/>
    <cellStyle name="Hyperlink" xfId="1439" builtinId="8" hidden="1"/>
    <cellStyle name="Hyperlink" xfId="1441" builtinId="8" hidden="1"/>
    <cellStyle name="Hyperlink" xfId="1443" builtinId="8" hidden="1"/>
    <cellStyle name="Hyperlink" xfId="1445" builtinId="8" hidden="1"/>
    <cellStyle name="Hyperlink" xfId="1447" builtinId="8" hidden="1"/>
    <cellStyle name="Hyperlink" xfId="1449" builtinId="8" hidden="1"/>
    <cellStyle name="Hyperlink" xfId="1451" builtinId="8" hidden="1"/>
    <cellStyle name="Hyperlink" xfId="1453" builtinId="8" hidden="1"/>
    <cellStyle name="Hyperlink" xfId="1455" builtinId="8" hidden="1"/>
    <cellStyle name="Hyperlink" xfId="1457" builtinId="8" hidden="1"/>
    <cellStyle name="Hyperlink" xfId="1459" builtinId="8" hidden="1"/>
    <cellStyle name="Hyperlink" xfId="1461" builtinId="8" hidden="1"/>
    <cellStyle name="Hyperlink" xfId="1463" builtinId="8" hidden="1"/>
    <cellStyle name="Hyperlink" xfId="1465" builtinId="8" hidden="1"/>
    <cellStyle name="Hyperlink" xfId="1467" builtinId="8" hidden="1"/>
    <cellStyle name="Hyperlink" xfId="1469" builtinId="8" hidden="1"/>
    <cellStyle name="Hyperlink" xfId="1471" builtinId="8" hidden="1"/>
    <cellStyle name="Hyperlink" xfId="1473" builtinId="8" hidden="1"/>
    <cellStyle name="Hyperlink" xfId="1475" builtinId="8" hidden="1"/>
    <cellStyle name="Hyperlink" xfId="1477" builtinId="8" hidden="1"/>
    <cellStyle name="Hyperlink" xfId="1479" builtinId="8" hidden="1"/>
    <cellStyle name="Hyperlink" xfId="1481" builtinId="8" hidden="1"/>
    <cellStyle name="Hyperlink" xfId="1483" builtinId="8" hidden="1"/>
    <cellStyle name="Hyperlink" xfId="1485" builtinId="8" hidden="1"/>
    <cellStyle name="Hyperlink" xfId="1487" builtinId="8" hidden="1"/>
    <cellStyle name="Hyperlink" xfId="1489" builtinId="8" hidden="1"/>
    <cellStyle name="Hyperlink" xfId="1491" builtinId="8" hidden="1"/>
    <cellStyle name="Hyperlink" xfId="1493" builtinId="8" hidden="1"/>
    <cellStyle name="Hyperlink" xfId="1495" builtinId="8" hidden="1"/>
    <cellStyle name="Hyperlink" xfId="1497" builtinId="8" hidden="1"/>
    <cellStyle name="Hyperlink" xfId="1499" builtinId="8" hidden="1"/>
    <cellStyle name="Hyperlink" xfId="1501" builtinId="8" hidden="1"/>
    <cellStyle name="Hyperlink" xfId="1503" builtinId="8" hidden="1"/>
    <cellStyle name="Hyperlink" xfId="1505" builtinId="8" hidden="1"/>
    <cellStyle name="Hyperlink" xfId="1507" builtinId="8" hidden="1"/>
    <cellStyle name="Hyperlink" xfId="1509" builtinId="8" hidden="1"/>
    <cellStyle name="Hyperlink" xfId="1511" builtinId="8" hidden="1"/>
    <cellStyle name="Hyperlink" xfId="1513" builtinId="8" hidden="1"/>
    <cellStyle name="Hyperlink" xfId="1515" builtinId="8" hidden="1"/>
    <cellStyle name="Hyperlink" xfId="1517" builtinId="8" hidden="1"/>
    <cellStyle name="Hyperlink" xfId="1519" builtinId="8" hidden="1"/>
    <cellStyle name="Hyperlink" xfId="1521" builtinId="8" hidden="1"/>
    <cellStyle name="Hyperlink" xfId="1523" builtinId="8" hidden="1"/>
    <cellStyle name="Hyperlink" xfId="1525" builtinId="8" hidden="1"/>
    <cellStyle name="Hyperlink" xfId="1527" builtinId="8" hidden="1"/>
    <cellStyle name="Hyperlink" xfId="1529" builtinId="8" hidden="1"/>
    <cellStyle name="Hyperlink" xfId="1531" builtinId="8" hidden="1"/>
    <cellStyle name="Hyperlink" xfId="1533" builtinId="8" hidden="1"/>
    <cellStyle name="Hyperlink" xfId="1535" builtinId="8" hidden="1"/>
    <cellStyle name="Hyperlink" xfId="1537" builtinId="8" hidden="1"/>
    <cellStyle name="Hyperlink" xfId="1539" builtinId="8" hidden="1"/>
    <cellStyle name="Hyperlink" xfId="1541" builtinId="8" hidden="1"/>
    <cellStyle name="Hyperlink" xfId="1543" builtinId="8" hidden="1"/>
    <cellStyle name="Hyperlink" xfId="1545" builtinId="8" hidden="1"/>
    <cellStyle name="Hyperlink" xfId="1547" builtinId="8" hidden="1"/>
    <cellStyle name="Hyperlink" xfId="1549" builtinId="8" hidden="1"/>
    <cellStyle name="Hyperlink" xfId="1551" builtinId="8" hidden="1"/>
    <cellStyle name="Hyperlink" xfId="1553" builtinId="8" hidden="1"/>
    <cellStyle name="Hyperlink" xfId="1555" builtinId="8" hidden="1"/>
    <cellStyle name="Hyperlink" xfId="1557" builtinId="8" hidden="1"/>
    <cellStyle name="Hyperlink" xfId="1559" builtinId="8" hidden="1"/>
    <cellStyle name="Hyperlink" xfId="1561" builtinId="8" hidden="1"/>
    <cellStyle name="Hyperlink" xfId="1563" builtinId="8" hidden="1"/>
    <cellStyle name="Hyperlink" xfId="1565" builtinId="8" hidden="1"/>
    <cellStyle name="Hyperlink" xfId="1567" builtinId="8" hidden="1"/>
    <cellStyle name="Hyperlink" xfId="1569" builtinId="8" hidden="1"/>
    <cellStyle name="Hyperlink" xfId="1571" builtinId="8" hidden="1"/>
    <cellStyle name="Hyperlink" xfId="1573" builtinId="8" hidden="1"/>
    <cellStyle name="Hyperlink" xfId="1575" builtinId="8" hidden="1"/>
    <cellStyle name="Hyperlink" xfId="1577" builtinId="8" hidden="1"/>
    <cellStyle name="Hyperlink" xfId="1579" builtinId="8" hidden="1"/>
    <cellStyle name="Hyperlink" xfId="1581" builtinId="8" hidden="1"/>
    <cellStyle name="Hyperlink" xfId="1583" builtinId="8" hidden="1"/>
    <cellStyle name="Hyperlink" xfId="1585" builtinId="8" hidden="1"/>
    <cellStyle name="Hyperlink" xfId="1587" builtinId="8" hidden="1"/>
    <cellStyle name="Hyperlink" xfId="1589" builtinId="8" hidden="1"/>
    <cellStyle name="Hyperlink" xfId="1591" builtinId="8" hidden="1"/>
    <cellStyle name="Hyperlink" xfId="1593" builtinId="8" hidden="1"/>
    <cellStyle name="Hyperlink" xfId="1595" builtinId="8" hidden="1"/>
    <cellStyle name="Hyperlink" xfId="1597" builtinId="8" hidden="1"/>
    <cellStyle name="Hyperlink" xfId="1599" builtinId="8" hidden="1"/>
    <cellStyle name="Hyperlink" xfId="1601" builtinId="8" hidden="1"/>
    <cellStyle name="Hyperlink" xfId="1603" builtinId="8" hidden="1"/>
    <cellStyle name="Hyperlink" xfId="1605" builtinId="8" hidden="1"/>
    <cellStyle name="Hyperlink" xfId="1607" builtinId="8" hidden="1"/>
    <cellStyle name="Hyperlink" xfId="1609" builtinId="8" hidden="1"/>
    <cellStyle name="Hyperlink" xfId="1611" builtinId="8" hidden="1"/>
    <cellStyle name="Hyperlink" xfId="1613" builtinId="8" hidden="1"/>
    <cellStyle name="Hyperlink" xfId="1615" builtinId="8" hidden="1"/>
    <cellStyle name="Hyperlink" xfId="1617" builtinId="8" hidden="1"/>
    <cellStyle name="Hyperlink" xfId="1619" builtinId="8" hidden="1"/>
    <cellStyle name="Hyperlink" xfId="1621" builtinId="8" hidden="1"/>
    <cellStyle name="Hyperlink" xfId="1623" builtinId="8" hidden="1"/>
    <cellStyle name="Hyperlink" xfId="1626" builtinId="8" hidden="1"/>
    <cellStyle name="Hyperlink" xfId="1628" builtinId="8" hidden="1"/>
    <cellStyle name="Hyperlink" xfId="1630" builtinId="8" hidden="1"/>
    <cellStyle name="Hyperlink" xfId="1632" builtinId="8" hidden="1"/>
    <cellStyle name="Hyperlink" xfId="1634" builtinId="8" hidden="1"/>
    <cellStyle name="Hyperlink" xfId="1636" builtinId="8" hidden="1"/>
    <cellStyle name="Hyperlink" xfId="1638" builtinId="8" hidden="1"/>
    <cellStyle name="Hyperlink" xfId="1640" builtinId="8" hidden="1"/>
    <cellStyle name="Hyperlink" xfId="1642" builtinId="8" hidden="1"/>
    <cellStyle name="Hyperlink" xfId="1644" builtinId="8" hidden="1"/>
    <cellStyle name="Hyperlink" xfId="1646" builtinId="8" hidden="1"/>
    <cellStyle name="Hyperlink" xfId="1648" builtinId="8" hidden="1"/>
    <cellStyle name="Hyperlink" xfId="1650" builtinId="8" hidden="1"/>
    <cellStyle name="Hyperlink" xfId="1652" builtinId="8" hidden="1"/>
    <cellStyle name="Hyperlink" xfId="1654" builtinId="8" hidden="1"/>
    <cellStyle name="Hyperlink" xfId="1656" builtinId="8" hidden="1"/>
    <cellStyle name="Hyperlink" xfId="1658" builtinId="8" hidden="1"/>
    <cellStyle name="Hyperlink" xfId="1660" builtinId="8" hidden="1"/>
    <cellStyle name="Hyperlink" xfId="1662" builtinId="8" hidden="1"/>
    <cellStyle name="Hyperlink" xfId="1664" builtinId="8" hidden="1"/>
    <cellStyle name="Hyperlink" xfId="1666" builtinId="8" hidden="1"/>
    <cellStyle name="Hyperlink" xfId="1668" builtinId="8" hidden="1"/>
    <cellStyle name="Hyperlink" xfId="1670" builtinId="8" hidden="1"/>
    <cellStyle name="Hyperlink" xfId="1672" builtinId="8" hidden="1"/>
    <cellStyle name="Hyperlink" xfId="1674" builtinId="8" hidden="1"/>
    <cellStyle name="Hyperlink" xfId="1676" builtinId="8" hidden="1"/>
    <cellStyle name="Hyperlink" xfId="1678" builtinId="8" hidden="1"/>
    <cellStyle name="Hyperlink" xfId="1680" builtinId="8" hidden="1"/>
    <cellStyle name="Hyperlink" xfId="1682" builtinId="8" hidden="1"/>
    <cellStyle name="Hyperlink" xfId="1684" builtinId="8" hidden="1"/>
    <cellStyle name="Hyperlink" xfId="1686" builtinId="8" hidden="1"/>
    <cellStyle name="Hyperlink" xfId="1688" builtinId="8" hidden="1"/>
    <cellStyle name="Hyperlink" xfId="1690" builtinId="8" hidden="1"/>
    <cellStyle name="Hyperlink" xfId="1692" builtinId="8" hidden="1"/>
    <cellStyle name="Hyperlink" xfId="1694" builtinId="8" hidden="1"/>
    <cellStyle name="Hyperlink" xfId="1696" builtinId="8" hidden="1"/>
    <cellStyle name="Hyperlink" xfId="1698" builtinId="8" hidden="1"/>
    <cellStyle name="Hyperlink" xfId="1700" builtinId="8" hidden="1"/>
    <cellStyle name="Hyperlink" xfId="1702" builtinId="8" hidden="1"/>
    <cellStyle name="Hyperlink" xfId="1704" builtinId="8" hidden="1"/>
    <cellStyle name="Hyperlink" xfId="1706" builtinId="8" hidden="1"/>
    <cellStyle name="Hyperlink" xfId="1708" builtinId="8" hidden="1"/>
    <cellStyle name="Hyperlink" xfId="1710" builtinId="8" hidden="1"/>
    <cellStyle name="Hyperlink" xfId="1712" builtinId="8" hidden="1"/>
    <cellStyle name="Hyperlink" xfId="1714" builtinId="8" hidden="1"/>
    <cellStyle name="Hyperlink" xfId="1716" builtinId="8" hidden="1"/>
    <cellStyle name="Hyperlink" xfId="1718" builtinId="8" hidden="1"/>
    <cellStyle name="Hyperlink" xfId="1720" builtinId="8" hidden="1"/>
    <cellStyle name="Hyperlink" xfId="1722" builtinId="8" hidden="1"/>
    <cellStyle name="Hyperlink" xfId="1724" builtinId="8" hidden="1"/>
    <cellStyle name="Hyperlink" xfId="1726" builtinId="8" hidden="1"/>
    <cellStyle name="Hyperlink" xfId="1728" builtinId="8" hidden="1"/>
    <cellStyle name="Hyperlink" xfId="1730" builtinId="8" hidden="1"/>
    <cellStyle name="Hyperlink" xfId="1732" builtinId="8" hidden="1"/>
    <cellStyle name="Hyperlink" xfId="1734" builtinId="8" hidden="1"/>
    <cellStyle name="Hyperlink" xfId="1736" builtinId="8" hidden="1"/>
    <cellStyle name="Hyperlink" xfId="1738" builtinId="8" hidden="1"/>
    <cellStyle name="Hyperlink" xfId="1740" builtinId="8" hidden="1"/>
    <cellStyle name="Hyperlink" xfId="1742" builtinId="8" hidden="1"/>
    <cellStyle name="Hyperlink" xfId="1744" builtinId="8" hidden="1"/>
    <cellStyle name="Hyperlink" xfId="1746" builtinId="8" hidden="1"/>
    <cellStyle name="Hyperlink" xfId="1748" builtinId="8" hidden="1"/>
    <cellStyle name="Hyperlink" xfId="1750" builtinId="8" hidden="1"/>
    <cellStyle name="Hyperlink" xfId="1752" builtinId="8" hidden="1"/>
    <cellStyle name="Hyperlink" xfId="1754" builtinId="8" hidden="1"/>
    <cellStyle name="Hyperlink" xfId="1756" builtinId="8" hidden="1"/>
    <cellStyle name="Hyperlink" xfId="1758" builtinId="8" hidden="1"/>
    <cellStyle name="Hyperlink" xfId="1760" builtinId="8" hidden="1"/>
    <cellStyle name="Hyperlink" xfId="1762" builtinId="8" hidden="1"/>
    <cellStyle name="Hyperlink" xfId="1764" builtinId="8" hidden="1"/>
    <cellStyle name="Hyperlink" xfId="1766" builtinId="8" hidden="1"/>
    <cellStyle name="Hyperlink" xfId="1768" builtinId="8" hidden="1"/>
    <cellStyle name="Hyperlink" xfId="1770" builtinId="8" hidden="1"/>
    <cellStyle name="Hyperlink" xfId="1772" builtinId="8" hidden="1"/>
    <cellStyle name="Hyperlink" xfId="1774" builtinId="8" hidden="1"/>
    <cellStyle name="Hyperlink" xfId="1776" builtinId="8" hidden="1"/>
    <cellStyle name="Hyperlink" xfId="1778" builtinId="8" hidden="1"/>
    <cellStyle name="Hyperlink" xfId="1780" builtinId="8" hidden="1"/>
    <cellStyle name="Hyperlink" xfId="1782" builtinId="8" hidden="1"/>
    <cellStyle name="Hyperlink" xfId="1784" builtinId="8" hidden="1"/>
    <cellStyle name="Hyperlink" xfId="1786" builtinId="8" hidden="1"/>
    <cellStyle name="Hyperlink" xfId="1788" builtinId="8" hidden="1"/>
    <cellStyle name="Hyperlink" xfId="1790" builtinId="8" hidden="1"/>
    <cellStyle name="Hyperlink" xfId="1792" builtinId="8" hidden="1"/>
    <cellStyle name="Hyperlink" xfId="1794" builtinId="8" hidden="1"/>
    <cellStyle name="Hyperlink" xfId="1796" builtinId="8" hidden="1"/>
    <cellStyle name="Hyperlink" xfId="1798" builtinId="8" hidden="1"/>
    <cellStyle name="Hyperlink" xfId="1800" builtinId="8" hidden="1"/>
    <cellStyle name="Hyperlink" xfId="1802" builtinId="8" hidden="1"/>
    <cellStyle name="Hyperlink" xfId="1804" builtinId="8" hidden="1"/>
    <cellStyle name="Hyperlink" xfId="1806" builtinId="8" hidden="1"/>
    <cellStyle name="Hyperlink" xfId="1808" builtinId="8" hidden="1"/>
    <cellStyle name="Hyperlink" xfId="1810" builtinId="8" hidden="1"/>
    <cellStyle name="Hyperlink" xfId="1812" builtinId="8" hidden="1"/>
    <cellStyle name="Hyperlink" xfId="1814" builtinId="8" hidden="1"/>
    <cellStyle name="Hyperlink" xfId="1816" builtinId="8" hidden="1"/>
    <cellStyle name="Hyperlink" xfId="1818" builtinId="8" hidden="1"/>
    <cellStyle name="Hyperlink" xfId="1820" builtinId="8" hidden="1"/>
    <cellStyle name="Hyperlink" xfId="1822" builtinId="8" hidden="1"/>
    <cellStyle name="Hyperlink" xfId="1824" builtinId="8" hidden="1"/>
    <cellStyle name="Hyperlink" xfId="1826" builtinId="8" hidden="1"/>
    <cellStyle name="Hyperlink" xfId="1828" builtinId="8" hidden="1"/>
    <cellStyle name="Hyperlink" xfId="1830" builtinId="8" hidden="1"/>
    <cellStyle name="Hyperlink" xfId="1832" builtinId="8" hidden="1"/>
    <cellStyle name="Hyperlink" xfId="1834" builtinId="8" hidden="1"/>
    <cellStyle name="Hyperlink" xfId="1836" builtinId="8" hidden="1"/>
    <cellStyle name="Hyperlink" xfId="1838" builtinId="8" hidden="1"/>
    <cellStyle name="Hyperlink" xfId="1840" builtinId="8" hidden="1"/>
    <cellStyle name="Hyperlink" xfId="1842" builtinId="8" hidden="1"/>
    <cellStyle name="Hyperlink" xfId="1844" builtinId="8" hidden="1"/>
    <cellStyle name="Hyperlink" xfId="1846" builtinId="8" hidden="1"/>
    <cellStyle name="Hyperlink" xfId="1848" builtinId="8" hidden="1"/>
    <cellStyle name="Hyperlink" xfId="1850" builtinId="8" hidden="1"/>
    <cellStyle name="Hyperlink" xfId="1852" builtinId="8" hidden="1"/>
    <cellStyle name="Hyperlink" xfId="1854" builtinId="8" hidden="1"/>
    <cellStyle name="Hyperlink" xfId="1856" builtinId="8" hidden="1"/>
    <cellStyle name="Hyperlink" xfId="1858" builtinId="8" hidden="1"/>
    <cellStyle name="Hyperlink" xfId="1860" builtinId="8" hidden="1"/>
    <cellStyle name="Hyperlink" xfId="1862" builtinId="8" hidden="1"/>
    <cellStyle name="Hyperlink" xfId="1864" builtinId="8" hidden="1"/>
    <cellStyle name="Hyperlink" xfId="1866" builtinId="8" hidden="1"/>
    <cellStyle name="Hyperlink" xfId="1868" builtinId="8" hidden="1"/>
    <cellStyle name="Hyperlink" xfId="1870" builtinId="8" hidden="1"/>
    <cellStyle name="Hyperlink" xfId="1872" builtinId="8" hidden="1"/>
    <cellStyle name="Hyperlink" xfId="1874" builtinId="8" hidden="1"/>
    <cellStyle name="Hyperlink" xfId="1876" builtinId="8" hidden="1"/>
    <cellStyle name="Hyperlink" xfId="1878" builtinId="8" hidden="1"/>
    <cellStyle name="Hyperlink" xfId="1880" builtinId="8" hidden="1"/>
    <cellStyle name="Hyperlink" xfId="1882" builtinId="8" hidden="1"/>
    <cellStyle name="Hyperlink" xfId="1884" builtinId="8" hidden="1"/>
    <cellStyle name="Hyperlink" xfId="1886" builtinId="8" hidden="1"/>
    <cellStyle name="Hyperlink" xfId="1888" builtinId="8" hidden="1"/>
    <cellStyle name="Hyperlink" xfId="1890" builtinId="8" hidden="1"/>
    <cellStyle name="Hyperlink" xfId="1892" builtinId="8" hidden="1"/>
    <cellStyle name="Hyperlink" xfId="1894" builtinId="8" hidden="1"/>
    <cellStyle name="Hyperlink" xfId="1896" builtinId="8" hidden="1"/>
    <cellStyle name="Hyperlink" xfId="1898" builtinId="8" hidden="1"/>
    <cellStyle name="Hyperlink" xfId="1900" builtinId="8" hidden="1"/>
    <cellStyle name="Hyperlink" xfId="1902" builtinId="8" hidden="1"/>
    <cellStyle name="Hyperlink" xfId="1904" builtinId="8" hidden="1"/>
    <cellStyle name="Hyperlink" xfId="1906" builtinId="8" hidden="1"/>
    <cellStyle name="Hyperlink" xfId="1908" builtinId="8" hidden="1"/>
    <cellStyle name="Hyperlink" xfId="1910" builtinId="8" hidden="1"/>
    <cellStyle name="Hyperlink" xfId="1912" builtinId="8" hidden="1"/>
    <cellStyle name="Hyperlink" xfId="1914" builtinId="8" hidden="1"/>
    <cellStyle name="Hyperlink" xfId="1916" builtinId="8" hidden="1"/>
    <cellStyle name="Hyperlink" xfId="1918" builtinId="8" hidden="1"/>
    <cellStyle name="Hyperlink" xfId="1920" builtinId="8" hidden="1"/>
    <cellStyle name="Hyperlink" xfId="1922" builtinId="8" hidden="1"/>
    <cellStyle name="Hyperlink" xfId="1924" builtinId="8" hidden="1"/>
    <cellStyle name="Hyperlink" xfId="1926" builtinId="8" hidden="1"/>
    <cellStyle name="Hyperlink" xfId="1928" builtinId="8" hidden="1"/>
    <cellStyle name="Hyperlink" xfId="1930" builtinId="8" hidden="1"/>
    <cellStyle name="Hyperlink" xfId="1932" builtinId="8" hidden="1"/>
    <cellStyle name="Hyperlink" xfId="1934" builtinId="8" hidden="1"/>
    <cellStyle name="Hyperlink" xfId="1936" builtinId="8" hidden="1"/>
    <cellStyle name="Hyperlink" xfId="1938" builtinId="8" hidden="1"/>
    <cellStyle name="Hyperlink" xfId="1940" builtinId="8" hidden="1"/>
    <cellStyle name="Hyperlink" xfId="1942" builtinId="8" hidden="1"/>
    <cellStyle name="Hyperlink" xfId="1944" builtinId="8" hidden="1"/>
    <cellStyle name="Hyperlink" xfId="1946" builtinId="8" hidden="1"/>
    <cellStyle name="Hyperlink" xfId="1948" builtinId="8" hidden="1"/>
    <cellStyle name="Hyperlink" xfId="1950" builtinId="8" hidden="1"/>
    <cellStyle name="Hyperlink" xfId="1952" builtinId="8" hidden="1"/>
    <cellStyle name="Hyperlink" xfId="1954" builtinId="8" hidden="1"/>
    <cellStyle name="Hyperlink" xfId="1956" builtinId="8" hidden="1"/>
    <cellStyle name="Hyperlink" xfId="1958" builtinId="8" hidden="1"/>
    <cellStyle name="Hyperlink" xfId="1960" builtinId="8" hidden="1"/>
    <cellStyle name="Hyperlink" xfId="1962" builtinId="8" hidden="1"/>
    <cellStyle name="Hyperlink" xfId="1964" builtinId="8" hidden="1"/>
    <cellStyle name="Hyperlink" xfId="1966" builtinId="8" hidden="1"/>
    <cellStyle name="Hyperlink" xfId="1968" builtinId="8" hidden="1"/>
    <cellStyle name="Hyperlink" xfId="1970" builtinId="8" hidden="1"/>
    <cellStyle name="Hyperlink" xfId="1972" builtinId="8" hidden="1"/>
    <cellStyle name="Hyperlink" xfId="1974" builtinId="8" hidden="1"/>
    <cellStyle name="Hyperlink" xfId="1976" builtinId="8" hidden="1"/>
    <cellStyle name="Hyperlink" xfId="1978" builtinId="8" hidden="1"/>
    <cellStyle name="Hyperlink" xfId="1980" builtinId="8" hidden="1"/>
    <cellStyle name="Hyperlink" xfId="1982" builtinId="8" hidden="1"/>
    <cellStyle name="Hyperlink" xfId="1984" builtinId="8" hidden="1"/>
    <cellStyle name="Hyperlink" xfId="1986" builtinId="8" hidden="1"/>
    <cellStyle name="Hyperlink" xfId="1988" builtinId="8" hidden="1"/>
    <cellStyle name="Hyperlink" xfId="1990" builtinId="8" hidden="1"/>
    <cellStyle name="Hyperlink" xfId="1992" builtinId="8" hidden="1"/>
    <cellStyle name="Hyperlink" xfId="1994" builtinId="8" hidden="1"/>
    <cellStyle name="Hyperlink" xfId="1996" builtinId="8" hidden="1"/>
    <cellStyle name="Hyperlink" xfId="1998" builtinId="8" hidden="1"/>
    <cellStyle name="Hyperlink" xfId="2000" builtinId="8" hidden="1"/>
    <cellStyle name="Hyperlink" xfId="2002" builtinId="8" hidden="1"/>
    <cellStyle name="Hyperlink" xfId="2004" builtinId="8" hidden="1"/>
    <cellStyle name="Hyperlink" xfId="2006" builtinId="8" hidden="1"/>
    <cellStyle name="Hyperlink" xfId="2008" builtinId="8" hidden="1"/>
    <cellStyle name="Hyperlink" xfId="2010" builtinId="8" hidden="1"/>
    <cellStyle name="Hyperlink" xfId="2012" builtinId="8" hidden="1"/>
    <cellStyle name="Hyperlink" xfId="2014" builtinId="8" hidden="1"/>
    <cellStyle name="Hyperlink" xfId="2016" builtinId="8" hidden="1"/>
    <cellStyle name="Hyperlink" xfId="2018" builtinId="8" hidden="1"/>
    <cellStyle name="Hyperlink" xfId="2020" builtinId="8" hidden="1"/>
    <cellStyle name="Hyperlink" xfId="2022" builtinId="8" hidden="1"/>
    <cellStyle name="Hyperlink" xfId="2024" builtinId="8" hidden="1"/>
    <cellStyle name="Hyperlink" xfId="2026" builtinId="8" hidden="1"/>
    <cellStyle name="Hyperlink" xfId="2028" builtinId="8" hidden="1"/>
    <cellStyle name="Hyperlink" xfId="2030" builtinId="8" hidden="1"/>
    <cellStyle name="Hyperlink" xfId="2032" builtinId="8" hidden="1"/>
    <cellStyle name="Hyperlink" xfId="2034" builtinId="8" hidden="1"/>
    <cellStyle name="Hyperlink" xfId="2036" builtinId="8" hidden="1"/>
    <cellStyle name="Hyperlink" xfId="2038" builtinId="8" hidden="1"/>
    <cellStyle name="Hyperlink" xfId="2040" builtinId="8" hidden="1"/>
    <cellStyle name="Hyperlink" xfId="2042" builtinId="8" hidden="1"/>
    <cellStyle name="Hyperlink" xfId="2044" builtinId="8" hidden="1"/>
    <cellStyle name="Hyperlink" xfId="2046" builtinId="8" hidden="1"/>
    <cellStyle name="Hyperlink" xfId="2048" builtinId="8" hidden="1"/>
    <cellStyle name="Hyperlink" xfId="2050" builtinId="8" hidden="1"/>
    <cellStyle name="Hyperlink" xfId="2052" builtinId="8" hidden="1"/>
    <cellStyle name="Hyperlink" xfId="2054" builtinId="8" hidden="1"/>
    <cellStyle name="Hyperlink" xfId="2056" builtinId="8" hidden="1"/>
    <cellStyle name="Hyperlink" xfId="2058" builtinId="8" hidden="1"/>
    <cellStyle name="Hyperlink" xfId="2060" builtinId="8" hidden="1"/>
    <cellStyle name="Hyperlink" xfId="2062" builtinId="8" hidden="1"/>
    <cellStyle name="Hyperlink" xfId="2064" builtinId="8" hidden="1"/>
    <cellStyle name="Hyperlink" xfId="2066" builtinId="8" hidden="1"/>
    <cellStyle name="Hyperlink" xfId="2068" builtinId="8" hidden="1"/>
    <cellStyle name="Hyperlink" xfId="2070" builtinId="8" hidden="1"/>
    <cellStyle name="Hyperlink" xfId="2072" builtinId="8" hidden="1"/>
    <cellStyle name="Hyperlink" xfId="2074" builtinId="8" hidden="1"/>
    <cellStyle name="Hyperlink" xfId="2076" builtinId="8" hidden="1"/>
    <cellStyle name="Hyperlink" xfId="2078" builtinId="8" hidden="1"/>
    <cellStyle name="Hyperlink" xfId="2080" builtinId="8" hidden="1"/>
    <cellStyle name="Hyperlink" xfId="2082" builtinId="8" hidden="1"/>
    <cellStyle name="Hyperlink" xfId="2084" builtinId="8" hidden="1"/>
    <cellStyle name="Hyperlink" xfId="2086" builtinId="8" hidden="1"/>
    <cellStyle name="Hyperlink" xfId="2088" builtinId="8" hidden="1"/>
    <cellStyle name="Hyperlink" xfId="2090" builtinId="8" hidden="1"/>
    <cellStyle name="Hyperlink" xfId="2092" builtinId="8" hidden="1"/>
    <cellStyle name="Hyperlink" xfId="2094" builtinId="8" hidden="1"/>
    <cellStyle name="Hyperlink" xfId="2096" builtinId="8" hidden="1"/>
    <cellStyle name="Hyperlink" xfId="2098" builtinId="8" hidden="1"/>
    <cellStyle name="Hyperlink" xfId="2100" builtinId="8" hidden="1"/>
    <cellStyle name="Hyperlink" xfId="2102" builtinId="8" hidden="1"/>
    <cellStyle name="Hyperlink" xfId="2104" builtinId="8" hidden="1"/>
    <cellStyle name="Hyperlink" xfId="2106" builtinId="8" hidden="1"/>
    <cellStyle name="Hyperlink" xfId="2108" builtinId="8" hidden="1"/>
    <cellStyle name="Hyperlink" xfId="2110" builtinId="8" hidden="1"/>
    <cellStyle name="Hyperlink" xfId="2112" builtinId="8" hidden="1"/>
    <cellStyle name="Hyperlink" xfId="2114" builtinId="8" hidden="1"/>
    <cellStyle name="Hyperlink" xfId="2116" builtinId="8" hidden="1"/>
    <cellStyle name="Hyperlink" xfId="2118" builtinId="8" hidden="1"/>
    <cellStyle name="Hyperlink" xfId="2120" builtinId="8" hidden="1"/>
    <cellStyle name="Hyperlink" xfId="2122" builtinId="8" hidden="1"/>
    <cellStyle name="Hyperlink" xfId="2124" builtinId="8" hidden="1"/>
    <cellStyle name="Hyperlink" xfId="2126" builtinId="8" hidden="1"/>
    <cellStyle name="Hyperlink" xfId="2128" builtinId="8" hidden="1"/>
    <cellStyle name="Hyperlink" xfId="2130" builtinId="8" hidden="1"/>
    <cellStyle name="Hyperlink" xfId="2132" builtinId="8" hidden="1"/>
    <cellStyle name="Hyperlink" xfId="2134" builtinId="8" hidden="1"/>
    <cellStyle name="Hyperlink" xfId="2136" builtinId="8" hidden="1"/>
    <cellStyle name="Hyperlink" xfId="2138" builtinId="8" hidden="1"/>
    <cellStyle name="Hyperlink" xfId="2140" builtinId="8" hidden="1"/>
    <cellStyle name="Hyperlink" xfId="2142" builtinId="8" hidden="1"/>
    <cellStyle name="Hyperlink" xfId="2144" builtinId="8" hidden="1"/>
    <cellStyle name="Hyperlink" xfId="2146" builtinId="8" hidden="1"/>
    <cellStyle name="Hyperlink" xfId="2148" builtinId="8" hidden="1"/>
    <cellStyle name="Hyperlink" xfId="2150" builtinId="8" hidden="1"/>
    <cellStyle name="Hyperlink" xfId="2152" builtinId="8" hidden="1"/>
    <cellStyle name="Hyperlink" xfId="2154" builtinId="8" hidden="1"/>
    <cellStyle name="Hyperlink" xfId="2156" builtinId="8" hidden="1"/>
    <cellStyle name="Hyperlink" xfId="2158" builtinId="8" hidden="1"/>
    <cellStyle name="Hyperlink" xfId="2160" builtinId="8" hidden="1"/>
    <cellStyle name="Hyperlink" xfId="2162" builtinId="8" hidden="1"/>
    <cellStyle name="Hyperlink" xfId="2164" builtinId="8" hidden="1"/>
    <cellStyle name="Hyperlink" xfId="2166" builtinId="8" hidden="1"/>
    <cellStyle name="Hyperlink" xfId="2168" builtinId="8" hidden="1"/>
    <cellStyle name="Hyperlink" xfId="2170" builtinId="8" hidden="1"/>
    <cellStyle name="Hyperlink" xfId="2172" builtinId="8" hidden="1"/>
    <cellStyle name="Hyperlink" xfId="2174" builtinId="8" hidden="1"/>
    <cellStyle name="Hyperlink" xfId="2176" builtinId="8" hidden="1"/>
    <cellStyle name="Hyperlink" xfId="2178" builtinId="8" hidden="1"/>
    <cellStyle name="Hyperlink" xfId="2180" builtinId="8" hidden="1"/>
    <cellStyle name="Hyperlink" xfId="2182" builtinId="8" hidden="1"/>
    <cellStyle name="Hyperlink" xfId="2184" builtinId="8" hidden="1"/>
    <cellStyle name="Hyperlink" xfId="2186" builtinId="8" hidden="1"/>
    <cellStyle name="Hyperlink" xfId="2188" builtinId="8" hidden="1"/>
    <cellStyle name="Hyperlink" xfId="2190" builtinId="8" hidden="1"/>
    <cellStyle name="Hyperlink" xfId="2192" builtinId="8" hidden="1"/>
    <cellStyle name="Hyperlink" xfId="2194" builtinId="8" hidden="1"/>
    <cellStyle name="Hyperlink" xfId="2196" builtinId="8" hidden="1"/>
    <cellStyle name="Hyperlink" xfId="2198" builtinId="8" hidden="1"/>
    <cellStyle name="Hyperlink" xfId="2200" builtinId="8" hidden="1"/>
    <cellStyle name="Hyperlink" xfId="2202" builtinId="8" hidden="1"/>
    <cellStyle name="Hyperlink" xfId="2204" builtinId="8" hidden="1"/>
    <cellStyle name="Hyperlink" xfId="2206" builtinId="8" hidden="1"/>
    <cellStyle name="Hyperlink" xfId="2208" builtinId="8" hidden="1"/>
    <cellStyle name="Hyperlink" xfId="2210" builtinId="8" hidden="1"/>
    <cellStyle name="Hyperlink" xfId="2212" builtinId="8" hidden="1"/>
    <cellStyle name="Hyperlink" xfId="2214" builtinId="8" hidden="1"/>
    <cellStyle name="Hyperlink" xfId="2216" builtinId="8" hidden="1"/>
    <cellStyle name="Hyperlink" xfId="2218" builtinId="8" hidden="1"/>
    <cellStyle name="Hyperlink" xfId="2220" builtinId="8" hidden="1"/>
    <cellStyle name="Hyperlink" xfId="2222" builtinId="8" hidden="1"/>
    <cellStyle name="Hyperlink" xfId="2224" builtinId="8" hidden="1"/>
    <cellStyle name="Hyperlink" xfId="2226" builtinId="8" hidden="1"/>
    <cellStyle name="Hyperlink" xfId="2228" builtinId="8" hidden="1"/>
    <cellStyle name="Hyperlink" xfId="2230" builtinId="8" hidden="1"/>
    <cellStyle name="Hyperlink" xfId="2232" builtinId="8" hidden="1"/>
    <cellStyle name="Hyperlink" xfId="2234" builtinId="8" hidden="1"/>
    <cellStyle name="Hyperlink" xfId="2236" builtinId="8" hidden="1"/>
    <cellStyle name="Hyperlink" xfId="2238" builtinId="8" hidden="1"/>
    <cellStyle name="Hyperlink" xfId="2240" builtinId="8" hidden="1"/>
    <cellStyle name="Hyperlink" xfId="2242" builtinId="8" hidden="1"/>
    <cellStyle name="Hyperlink" xfId="2244" builtinId="8" hidden="1"/>
    <cellStyle name="Hyperlink" xfId="2246" builtinId="8" hidden="1"/>
    <cellStyle name="Hyperlink" xfId="2248" builtinId="8" hidden="1"/>
    <cellStyle name="Hyperlink" xfId="2250" builtinId="8" hidden="1"/>
    <cellStyle name="Hyperlink" xfId="2252" builtinId="8" hidden="1"/>
    <cellStyle name="Hyperlink" xfId="2254" builtinId="8" hidden="1"/>
    <cellStyle name="Hyperlink" xfId="2256" builtinId="8" hidden="1"/>
    <cellStyle name="Hyperlink" xfId="2258" builtinId="8" hidden="1"/>
    <cellStyle name="Hyperlink" xfId="2260" builtinId="8" hidden="1"/>
    <cellStyle name="Hyperlink" xfId="2262" builtinId="8" hidden="1"/>
    <cellStyle name="Hyperlink" xfId="2264" builtinId="8" hidden="1"/>
    <cellStyle name="Hyperlink" xfId="2266" builtinId="8" hidden="1"/>
    <cellStyle name="Hyperlink" xfId="2268" builtinId="8" hidden="1"/>
    <cellStyle name="Hyperlink" xfId="2270" builtinId="8" hidden="1"/>
    <cellStyle name="Hyperlink" xfId="2272" builtinId="8" hidden="1"/>
    <cellStyle name="Hyperlink" xfId="2274" builtinId="8" hidden="1"/>
    <cellStyle name="Hyperlink" xfId="2276" builtinId="8" hidden="1"/>
    <cellStyle name="Hyperlink" xfId="2278" builtinId="8" hidden="1"/>
    <cellStyle name="Hyperlink" xfId="2280" builtinId="8" hidden="1"/>
    <cellStyle name="Hyperlink" xfId="2282" builtinId="8" hidden="1"/>
    <cellStyle name="Hyperlink" xfId="2284" builtinId="8" hidden="1"/>
    <cellStyle name="Hyperlink" xfId="2286" builtinId="8" hidden="1"/>
    <cellStyle name="Hyperlink" xfId="2288" builtinId="8" hidden="1"/>
    <cellStyle name="Hyperlink" xfId="2290" builtinId="8" hidden="1"/>
    <cellStyle name="Hyperlink" xfId="2292" builtinId="8" hidden="1"/>
    <cellStyle name="Hyperlink" xfId="2294" builtinId="8" hidden="1"/>
    <cellStyle name="Hyperlink" xfId="2296" builtinId="8" hidden="1"/>
    <cellStyle name="Hyperlink" xfId="2298" builtinId="8" hidden="1"/>
    <cellStyle name="Hyperlink" xfId="2300" builtinId="8" hidden="1"/>
    <cellStyle name="Hyperlink" xfId="2302" builtinId="8" hidden="1"/>
    <cellStyle name="Hyperlink" xfId="2304" builtinId="8" hidden="1"/>
    <cellStyle name="Hyperlink" xfId="2306" builtinId="8" hidden="1"/>
    <cellStyle name="Hyperlink" xfId="2308" builtinId="8" hidden="1"/>
    <cellStyle name="Hyperlink" xfId="2310" builtinId="8" hidden="1"/>
    <cellStyle name="Hyperlink" xfId="2312" builtinId="8" hidden="1"/>
    <cellStyle name="Hyperlink" xfId="2314" builtinId="8" hidden="1"/>
    <cellStyle name="Hyperlink" xfId="2316" builtinId="8" hidden="1"/>
    <cellStyle name="Hyperlink" xfId="2318" builtinId="8" hidden="1"/>
    <cellStyle name="Hyperlink" xfId="2320" builtinId="8" hidden="1"/>
    <cellStyle name="Hyperlink" xfId="2322" builtinId="8" hidden="1"/>
    <cellStyle name="Hyperlink" xfId="2324" builtinId="8" hidden="1"/>
    <cellStyle name="Hyperlink" xfId="2326" builtinId="8" hidden="1"/>
    <cellStyle name="Hyperlink" xfId="2328" builtinId="8" hidden="1"/>
    <cellStyle name="Hyperlink" xfId="2330" builtinId="8" hidden="1"/>
    <cellStyle name="Hyperlink" xfId="2332" builtinId="8" hidden="1"/>
    <cellStyle name="Hyperlink" xfId="2334" builtinId="8" hidden="1"/>
    <cellStyle name="Hyperlink" xfId="2336" builtinId="8" hidden="1"/>
    <cellStyle name="Hyperlink" xfId="2338" builtinId="8" hidden="1"/>
    <cellStyle name="Hyperlink" xfId="2340" builtinId="8" hidden="1"/>
    <cellStyle name="Hyperlink" xfId="2342" builtinId="8" hidden="1"/>
    <cellStyle name="Hyperlink" xfId="2344" builtinId="8" hidden="1"/>
    <cellStyle name="Hyperlink" xfId="2346" builtinId="8" hidden="1"/>
    <cellStyle name="Hyperlink" xfId="2348" builtinId="8" hidden="1"/>
    <cellStyle name="Hyperlink" xfId="2350" builtinId="8" hidden="1"/>
    <cellStyle name="Hyperlink" xfId="2352" builtinId="8" hidden="1"/>
    <cellStyle name="Hyperlink" xfId="2354" builtinId="8" hidden="1"/>
    <cellStyle name="Hyperlink" xfId="2356" builtinId="8" hidden="1"/>
    <cellStyle name="Hyperlink" xfId="2358" builtinId="8" hidden="1"/>
    <cellStyle name="Hyperlink" xfId="2360" builtinId="8" hidden="1"/>
    <cellStyle name="Hyperlink" xfId="2362" builtinId="8" hidden="1"/>
    <cellStyle name="Hyperlink" xfId="2364" builtinId="8" hidden="1"/>
    <cellStyle name="Hyperlink" xfId="2366" builtinId="8" hidden="1"/>
    <cellStyle name="Hyperlink" xfId="2368" builtinId="8" hidden="1"/>
    <cellStyle name="Hyperlink" xfId="2370" builtinId="8" hidden="1"/>
    <cellStyle name="Hyperlink" xfId="2372" builtinId="8" hidden="1"/>
    <cellStyle name="Hyperlink" xfId="2374" builtinId="8" hidden="1"/>
    <cellStyle name="Hyperlink" xfId="2376" builtinId="8" hidden="1"/>
    <cellStyle name="Hyperlink" xfId="2378" builtinId="8" hidden="1"/>
    <cellStyle name="Hyperlink" xfId="2380" builtinId="8" hidden="1"/>
    <cellStyle name="Hyperlink" xfId="2382" builtinId="8" hidden="1"/>
    <cellStyle name="Hyperlink" xfId="2384" builtinId="8" hidden="1"/>
    <cellStyle name="Hyperlink" xfId="2386" builtinId="8" hidden="1"/>
    <cellStyle name="Hyperlink" xfId="2388" builtinId="8" hidden="1"/>
    <cellStyle name="Hyperlink" xfId="2390" builtinId="8" hidden="1"/>
    <cellStyle name="Hyperlink" xfId="2392" builtinId="8" hidden="1"/>
    <cellStyle name="Hyperlink" xfId="2394" builtinId="8" hidden="1"/>
    <cellStyle name="Hyperlink" xfId="2396" builtinId="8" hidden="1"/>
    <cellStyle name="Hyperlink" xfId="2398" builtinId="8" hidden="1"/>
    <cellStyle name="Hyperlink" xfId="2400" builtinId="8" hidden="1"/>
    <cellStyle name="Hyperlink" xfId="2402" builtinId="8" hidden="1"/>
    <cellStyle name="Hyperlink" xfId="2404" builtinId="8" hidden="1"/>
    <cellStyle name="Hyperlink" xfId="2406" builtinId="8" hidden="1"/>
    <cellStyle name="Hyperlink" xfId="2408" builtinId="8" hidden="1"/>
    <cellStyle name="Hyperlink" xfId="2410" builtinId="8" hidden="1"/>
    <cellStyle name="Hyperlink" xfId="2412" builtinId="8" hidden="1"/>
    <cellStyle name="Hyperlink" xfId="2414" builtinId="8" hidden="1"/>
    <cellStyle name="Hyperlink" xfId="2416" builtinId="8" hidden="1"/>
    <cellStyle name="Hyperlink" xfId="2418" builtinId="8" hidden="1"/>
    <cellStyle name="Hyperlink" xfId="2420" builtinId="8" hidden="1"/>
    <cellStyle name="Hyperlink" xfId="2422" builtinId="8" hidden="1"/>
    <cellStyle name="Hyperlink" xfId="2424" builtinId="8" hidden="1"/>
    <cellStyle name="Hyperlink" xfId="2426" builtinId="8" hidden="1"/>
    <cellStyle name="Hyperlink" xfId="2428" builtinId="8" hidden="1"/>
    <cellStyle name="Hyperlink" xfId="2430" builtinId="8" hidden="1"/>
    <cellStyle name="Hyperlink" xfId="2432" builtinId="8" hidden="1"/>
    <cellStyle name="Hyperlink" xfId="2434" builtinId="8" hidden="1"/>
    <cellStyle name="Hyperlink" xfId="2436" builtinId="8"/>
    <cellStyle name="Normal" xfId="0" builtinId="0"/>
    <cellStyle name="Percent" xfId="238" builtinId="5"/>
  </cellStyles>
  <dxfs count="0"/>
  <tableStyles count="0" defaultTableStyle="TableStyleMedium9" defaultPivotStyle="PivotStyleMedium4"/>
  <colors>
    <mruColors>
      <color rgb="FF779616"/>
      <color rgb="FF453525"/>
      <color rgb="FF6A574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1.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24</xdr:col>
      <xdr:colOff>491672</xdr:colOff>
      <xdr:row>11</xdr:row>
      <xdr:rowOff>1226456</xdr:rowOff>
    </xdr:from>
    <xdr:to>
      <xdr:col>27</xdr:col>
      <xdr:colOff>527958</xdr:colOff>
      <xdr:row>12</xdr:row>
      <xdr:rowOff>114300</xdr:rowOff>
    </xdr:to>
    <xdr:pic>
      <xdr:nvPicPr>
        <xdr:cNvPr id="2" name="Picture 1"/>
        <xdr:cNvPicPr>
          <a:picLocks noChangeAspect="1"/>
        </xdr:cNvPicPr>
      </xdr:nvPicPr>
      <xdr:blipFill>
        <a:blip xmlns:r="http://schemas.openxmlformats.org/officeDocument/2006/relationships" r:embed="rId1"/>
        <a:stretch>
          <a:fillRect/>
        </a:stretch>
      </xdr:blipFill>
      <xdr:spPr>
        <a:xfrm>
          <a:off x="10702472" y="6065156"/>
          <a:ext cx="1903186" cy="7293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63500</xdr:colOff>
      <xdr:row>32</xdr:row>
      <xdr:rowOff>1207</xdr:rowOff>
    </xdr:from>
    <xdr:to>
      <xdr:col>18</xdr:col>
      <xdr:colOff>995829</xdr:colOff>
      <xdr:row>34</xdr:row>
      <xdr:rowOff>114658</xdr:rowOff>
    </xdr:to>
    <xdr:pic>
      <xdr:nvPicPr>
        <xdr:cNvPr id="2" name="Picture 1" descr="EAGA Family 1.png"/>
        <xdr:cNvPicPr>
          <a:picLocks noChangeAspect="1"/>
        </xdr:cNvPicPr>
      </xdr:nvPicPr>
      <xdr:blipFill>
        <a:blip xmlns:r="http://schemas.openxmlformats.org/officeDocument/2006/relationships" r:embed="rId1">
          <a:extLst>
            <a:ext uri="{28A0092B-C50C-407E-A947-70E740481C1C}">
              <a14:useLocalDpi xmlns="" xmlns:a14="http://schemas.microsoft.com/office/drawing/2010/main" val="0"/>
            </a:ext>
          </a:extLst>
        </a:blip>
        <a:stretch>
          <a:fillRect/>
        </a:stretch>
      </xdr:blipFill>
      <xdr:spPr>
        <a:xfrm>
          <a:off x="8128000" y="8548307"/>
          <a:ext cx="1130300" cy="893381"/>
        </a:xfrm>
        <a:prstGeom prst="rect">
          <a:avLst/>
        </a:prstGeom>
      </xdr:spPr>
    </xdr:pic>
    <xdr:clientData/>
  </xdr:twoCellAnchor>
  <xdr:twoCellAnchor editAs="oneCell">
    <xdr:from>
      <xdr:col>17</xdr:col>
      <xdr:colOff>520700</xdr:colOff>
      <xdr:row>27</xdr:row>
      <xdr:rowOff>0</xdr:rowOff>
    </xdr:from>
    <xdr:to>
      <xdr:col>19</xdr:col>
      <xdr:colOff>2690</xdr:colOff>
      <xdr:row>29</xdr:row>
      <xdr:rowOff>98911</xdr:rowOff>
    </xdr:to>
    <xdr:pic>
      <xdr:nvPicPr>
        <xdr:cNvPr id="3" name="Picture 2" descr="EAGA Family 2.png"/>
        <xdr:cNvPicPr>
          <a:picLocks noChangeAspect="1"/>
        </xdr:cNvPicPr>
      </xdr:nvPicPr>
      <xdr:blipFill>
        <a:blip xmlns:r="http://schemas.openxmlformats.org/officeDocument/2006/relationships" r:embed="rId2">
          <a:extLst>
            <a:ext uri="{28A0092B-C50C-407E-A947-70E740481C1C}">
              <a14:useLocalDpi xmlns="" xmlns:a14="http://schemas.microsoft.com/office/drawing/2010/main" val="0"/>
            </a:ext>
          </a:extLst>
        </a:blip>
        <a:stretch>
          <a:fillRect/>
        </a:stretch>
      </xdr:blipFill>
      <xdr:spPr>
        <a:xfrm>
          <a:off x="9156700" y="7150100"/>
          <a:ext cx="1318260" cy="878840"/>
        </a:xfrm>
        <a:prstGeom prst="rect">
          <a:avLst/>
        </a:prstGeom>
      </xdr:spPr>
    </xdr:pic>
    <xdr:clientData/>
  </xdr:twoCellAnchor>
  <xdr:twoCellAnchor editAs="oneCell">
    <xdr:from>
      <xdr:col>18</xdr:col>
      <xdr:colOff>86771</xdr:colOff>
      <xdr:row>36</xdr:row>
      <xdr:rowOff>279400</xdr:rowOff>
    </xdr:from>
    <xdr:to>
      <xdr:col>19</xdr:col>
      <xdr:colOff>3376</xdr:colOff>
      <xdr:row>38</xdr:row>
      <xdr:rowOff>336176</xdr:rowOff>
    </xdr:to>
    <xdr:pic>
      <xdr:nvPicPr>
        <xdr:cNvPr id="4" name="Picture 3" descr="EAGA Couple.png"/>
        <xdr:cNvPicPr>
          <a:picLocks noChangeAspect="1"/>
        </xdr:cNvPicPr>
      </xdr:nvPicPr>
      <xdr:blipFill>
        <a:blip xmlns:r="http://schemas.openxmlformats.org/officeDocument/2006/relationships" r:embed="rId3">
          <a:extLst>
            <a:ext uri="{28A0092B-C50C-407E-A947-70E740481C1C}">
              <a14:useLocalDpi xmlns="" xmlns:a14="http://schemas.microsoft.com/office/drawing/2010/main" val="0"/>
            </a:ext>
          </a:extLst>
        </a:blip>
        <a:stretch>
          <a:fillRect/>
        </a:stretch>
      </xdr:blipFill>
      <xdr:spPr>
        <a:xfrm>
          <a:off x="8151271" y="10147300"/>
          <a:ext cx="971901" cy="838200"/>
        </a:xfrm>
        <a:prstGeom prst="rect">
          <a:avLst/>
        </a:prstGeom>
      </xdr:spPr>
    </xdr:pic>
    <xdr:clientData/>
  </xdr:twoCellAnchor>
  <xdr:twoCellAnchor editAs="oneCell">
    <xdr:from>
      <xdr:col>18</xdr:col>
      <xdr:colOff>128495</xdr:colOff>
      <xdr:row>22</xdr:row>
      <xdr:rowOff>31376</xdr:rowOff>
    </xdr:from>
    <xdr:to>
      <xdr:col>18</xdr:col>
      <xdr:colOff>995469</xdr:colOff>
      <xdr:row>24</xdr:row>
      <xdr:rowOff>202452</xdr:rowOff>
    </xdr:to>
    <xdr:pic>
      <xdr:nvPicPr>
        <xdr:cNvPr id="5" name="Picture 4" descr="EAGA Retired.png"/>
        <xdr:cNvPicPr>
          <a:picLocks noChangeAspect="1"/>
        </xdr:cNvPicPr>
      </xdr:nvPicPr>
      <xdr:blipFill>
        <a:blip xmlns:r="http://schemas.openxmlformats.org/officeDocument/2006/relationships" r:embed="rId4">
          <a:extLst>
            <a:ext uri="{28A0092B-C50C-407E-A947-70E740481C1C}">
              <a14:useLocalDpi xmlns="" xmlns:a14="http://schemas.microsoft.com/office/drawing/2010/main" val="0"/>
            </a:ext>
          </a:extLst>
        </a:blip>
        <a:stretch>
          <a:fillRect/>
        </a:stretch>
      </xdr:blipFill>
      <xdr:spPr>
        <a:xfrm>
          <a:off x="9691595" y="5327276"/>
          <a:ext cx="1042234" cy="933076"/>
        </a:xfrm>
        <a:prstGeom prst="rect">
          <a:avLst/>
        </a:prstGeom>
      </xdr:spPr>
    </xdr:pic>
    <xdr:clientData/>
  </xdr:twoCellAnchor>
  <xdr:twoCellAnchor editAs="oneCell">
    <xdr:from>
      <xdr:col>27</xdr:col>
      <xdr:colOff>1</xdr:colOff>
      <xdr:row>45</xdr:row>
      <xdr:rowOff>76200</xdr:rowOff>
    </xdr:from>
    <xdr:to>
      <xdr:col>31</xdr:col>
      <xdr:colOff>30843</xdr:colOff>
      <xdr:row>49</xdr:row>
      <xdr:rowOff>23586</xdr:rowOff>
    </xdr:to>
    <xdr:pic>
      <xdr:nvPicPr>
        <xdr:cNvPr id="6" name="Picture 5"/>
        <xdr:cNvPicPr>
          <a:picLocks noChangeAspect="1"/>
        </xdr:cNvPicPr>
      </xdr:nvPicPr>
      <xdr:blipFill>
        <a:blip xmlns:r="http://schemas.openxmlformats.org/officeDocument/2006/relationships" r:embed="rId5"/>
        <a:stretch>
          <a:fillRect/>
        </a:stretch>
      </xdr:blipFill>
      <xdr:spPr>
        <a:xfrm>
          <a:off x="12712701" y="13449300"/>
          <a:ext cx="1821542" cy="68398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dimension ref="A1:AB12"/>
  <sheetViews>
    <sheetView showGridLines="0" showRowColHeaders="0" tabSelected="1" zoomScale="80" zoomScaleNormal="80" workbookViewId="0">
      <pane ySplit="2" topLeftCell="A3" activePane="bottomLeft" state="frozen"/>
      <selection pane="bottomLeft" activeCell="F2" sqref="F2"/>
    </sheetView>
  </sheetViews>
  <sheetFormatPr defaultColWidth="8.125" defaultRowHeight="20.100000000000001" customHeight="1"/>
  <cols>
    <col min="1" max="3" width="3.5" style="2" customWidth="1"/>
    <col min="4" max="6" width="5.625" style="2" customWidth="1"/>
    <col min="7" max="7" width="2.625" style="2" customWidth="1"/>
    <col min="8" max="21" width="5.625" style="2" customWidth="1"/>
    <col min="22" max="16384" width="8.125" style="2"/>
  </cols>
  <sheetData>
    <row r="1" spans="1:28" s="15" customFormat="1" ht="20.100000000000001" customHeight="1">
      <c r="A1" s="82"/>
      <c r="B1" s="14" t="s">
        <v>204</v>
      </c>
    </row>
    <row r="2" spans="1:28" s="88" customFormat="1" ht="20.100000000000001" customHeight="1">
      <c r="B2" s="217" t="s">
        <v>194</v>
      </c>
      <c r="C2" s="217"/>
      <c r="D2" s="218" t="s">
        <v>195</v>
      </c>
      <c r="E2" s="218"/>
      <c r="F2" s="89" t="s">
        <v>196</v>
      </c>
      <c r="G2" s="89"/>
    </row>
    <row r="3" spans="1:28" ht="20.100000000000001" customHeight="1">
      <c r="B3" s="11" t="s">
        <v>1</v>
      </c>
    </row>
    <row r="4" spans="1:28" ht="9.9499999999999993" customHeight="1">
      <c r="B4" s="11"/>
    </row>
    <row r="5" spans="1:28" ht="9.9499999999999993" customHeight="1">
      <c r="B5" s="11"/>
    </row>
    <row r="6" spans="1:28" ht="9.9499999999999993" customHeight="1">
      <c r="T6" s="84" t="s">
        <v>206</v>
      </c>
      <c r="U6" s="84"/>
      <c r="V6" s="84"/>
      <c r="W6" s="84"/>
      <c r="X6" s="84"/>
      <c r="Y6" s="84"/>
      <c r="Z6" s="84"/>
      <c r="AA6" s="84"/>
      <c r="AB6" s="84"/>
    </row>
    <row r="7" spans="1:28" ht="66.95" customHeight="1">
      <c r="B7" s="184" t="s">
        <v>194</v>
      </c>
      <c r="C7" s="183"/>
      <c r="D7" s="53"/>
      <c r="E7" s="53"/>
      <c r="F7" s="53"/>
      <c r="G7" s="53"/>
      <c r="J7" s="219" t="s">
        <v>210</v>
      </c>
      <c r="K7" s="219"/>
      <c r="L7" s="219"/>
      <c r="M7" s="219"/>
      <c r="N7" s="219"/>
      <c r="O7" s="219"/>
      <c r="P7" s="219"/>
      <c r="Q7" s="219"/>
      <c r="R7" s="219"/>
      <c r="T7" s="215" t="s">
        <v>207</v>
      </c>
      <c r="U7" s="215"/>
      <c r="V7" s="215"/>
      <c r="W7" s="215"/>
      <c r="X7" s="215"/>
      <c r="Y7" s="215"/>
      <c r="Z7" s="215"/>
      <c r="AA7" s="215"/>
      <c r="AB7" s="215"/>
    </row>
    <row r="8" spans="1:28" ht="98.1" customHeight="1">
      <c r="B8" s="221" t="s">
        <v>209</v>
      </c>
      <c r="C8" s="221"/>
      <c r="D8" s="221"/>
      <c r="E8" s="221"/>
      <c r="F8" s="221"/>
      <c r="G8" s="87"/>
      <c r="J8" s="219"/>
      <c r="K8" s="219"/>
      <c r="L8" s="219"/>
      <c r="M8" s="219"/>
      <c r="N8" s="219"/>
      <c r="O8" s="219"/>
      <c r="P8" s="219"/>
      <c r="Q8" s="219"/>
      <c r="R8" s="219"/>
      <c r="T8" s="215"/>
      <c r="U8" s="215"/>
      <c r="V8" s="215"/>
      <c r="W8" s="215"/>
      <c r="X8" s="215"/>
      <c r="Y8" s="215"/>
      <c r="Z8" s="215"/>
      <c r="AA8" s="215"/>
      <c r="AB8" s="215"/>
    </row>
    <row r="9" spans="1:28" ht="20.100000000000001" customHeight="1">
      <c r="B9" s="221"/>
      <c r="C9" s="221"/>
      <c r="D9" s="221"/>
      <c r="E9" s="221"/>
      <c r="F9" s="221"/>
      <c r="G9" s="87"/>
      <c r="T9" s="215"/>
      <c r="U9" s="215"/>
      <c r="V9" s="215"/>
      <c r="W9" s="215"/>
      <c r="X9" s="215"/>
      <c r="Y9" s="215"/>
      <c r="Z9" s="215"/>
      <c r="AA9" s="215"/>
      <c r="AB9" s="215"/>
    </row>
    <row r="10" spans="1:28" ht="20.100000000000001" customHeight="1">
      <c r="B10" s="221"/>
      <c r="C10" s="221"/>
      <c r="D10" s="221"/>
      <c r="E10" s="221"/>
      <c r="F10" s="221"/>
      <c r="G10" s="87"/>
      <c r="T10" s="215"/>
      <c r="U10" s="215"/>
      <c r="V10" s="215"/>
      <c r="W10" s="215"/>
      <c r="X10" s="215"/>
      <c r="Y10" s="215"/>
      <c r="Z10" s="215"/>
      <c r="AA10" s="215"/>
      <c r="AB10" s="215"/>
    </row>
    <row r="11" spans="1:28" ht="86.1" customHeight="1">
      <c r="B11" s="221"/>
      <c r="C11" s="221"/>
      <c r="D11" s="221"/>
      <c r="E11" s="221"/>
      <c r="F11" s="221"/>
      <c r="G11" s="87"/>
      <c r="J11" s="220" t="s">
        <v>211</v>
      </c>
      <c r="K11" s="220"/>
      <c r="L11" s="220"/>
      <c r="M11" s="220"/>
      <c r="N11" s="220"/>
      <c r="O11" s="220"/>
      <c r="P11" s="220"/>
      <c r="Q11" s="220"/>
      <c r="R11" s="220"/>
      <c r="T11" s="216" t="s">
        <v>208</v>
      </c>
      <c r="U11" s="216"/>
      <c r="V11" s="216"/>
      <c r="W11" s="216"/>
      <c r="X11" s="216"/>
      <c r="Y11" s="216"/>
      <c r="Z11" s="216"/>
      <c r="AA11" s="216"/>
      <c r="AB11" s="216"/>
    </row>
    <row r="12" spans="1:28" ht="144.94999999999999" customHeight="1">
      <c r="B12" s="221"/>
      <c r="C12" s="221"/>
      <c r="D12" s="221"/>
      <c r="E12" s="221"/>
      <c r="F12" s="221"/>
      <c r="G12" s="87"/>
      <c r="J12" s="220"/>
      <c r="K12" s="220"/>
      <c r="L12" s="220"/>
      <c r="M12" s="220"/>
      <c r="N12" s="220"/>
      <c r="O12" s="220"/>
      <c r="P12" s="220"/>
      <c r="Q12" s="220"/>
      <c r="R12" s="220"/>
      <c r="T12" s="216"/>
      <c r="U12" s="216"/>
      <c r="V12" s="216"/>
      <c r="W12" s="216"/>
      <c r="X12" s="216"/>
      <c r="Y12" s="216"/>
      <c r="Z12" s="216"/>
      <c r="AA12" s="216"/>
      <c r="AB12" s="216"/>
    </row>
  </sheetData>
  <sheetProtection sheet="1" objects="1" scenarios="1"/>
  <mergeCells count="7">
    <mergeCell ref="T7:AB10"/>
    <mergeCell ref="T11:AB12"/>
    <mergeCell ref="B2:C2"/>
    <mergeCell ref="D2:E2"/>
    <mergeCell ref="J7:R8"/>
    <mergeCell ref="J11:R12"/>
    <mergeCell ref="B8:F12"/>
  </mergeCells>
  <hyperlinks>
    <hyperlink ref="D2" location="MarketModel!A1" display="market size"/>
    <hyperlink ref="E2" location="MarketModel!A1" display="MarketModel!A1"/>
    <hyperlink ref="F2" location="ProgramModel!A1" display="model"/>
    <hyperlink ref="J7" location="MarketModel!A1" display="\\ market sizing model to scope the potential size of a program by local government area"/>
    <hyperlink ref="K7" location="MarketModel!A1" display="MarketModel!A1"/>
    <hyperlink ref="L7" location="MarketModel!A1" display="MarketModel!A1"/>
    <hyperlink ref="O7" location="MarketModel!A1" display="MarketModel!A1"/>
    <hyperlink ref="P7" location="MarketModel!A1" display="MarketModel!A1"/>
    <hyperlink ref="Q7" location="MarketModel!A1" display="MarketModel!A1"/>
    <hyperlink ref="R7" location="MarketModel!A1" display="MarketModel!A1"/>
    <hyperlink ref="J8" location="MarketModel!A1" display="MarketModel!A1"/>
    <hyperlink ref="K8" location="MarketModel!A1" display="MarketModel!A1"/>
    <hyperlink ref="L8" location="MarketModel!A1" display="MarketModel!A1"/>
    <hyperlink ref="O8" location="MarketModel!A1" display="MarketModel!A1"/>
    <hyperlink ref="P8" location="MarketModel!A1" display="MarketModel!A1"/>
    <hyperlink ref="Q8" location="MarketModel!A1" display="MarketModel!A1"/>
    <hyperlink ref="R8" location="MarketModel!A1" display="MarketModel!A1"/>
    <hyperlink ref="J11" location="ProgramModel!A1" display="\\ program design model to test program designs and estimate the net financial and environmental impacts on participating households "/>
  </hyperlinks>
  <pageMargins left="0.75" right="0.75" top="1" bottom="1" header="0.5" footer="0.5"/>
  <pageSetup paperSize="8" orientation="portrait" horizontalDpi="4294967292" verticalDpi="4294967292"/>
  <drawing r:id="rId1"/>
</worksheet>
</file>

<file path=xl/worksheets/sheet2.xml><?xml version="1.0" encoding="utf-8"?>
<worksheet xmlns="http://schemas.openxmlformats.org/spreadsheetml/2006/main" xmlns:r="http://schemas.openxmlformats.org/officeDocument/2006/relationships">
  <dimension ref="A1:AG106"/>
  <sheetViews>
    <sheetView showGridLines="0" showRowColHeaders="0" zoomScale="80" zoomScaleNormal="80" workbookViewId="0">
      <pane ySplit="2" topLeftCell="A3" activePane="bottomLeft" state="frozenSplit"/>
      <selection pane="bottomLeft" activeCell="D29" sqref="D29"/>
    </sheetView>
  </sheetViews>
  <sheetFormatPr defaultColWidth="8.125" defaultRowHeight="20.100000000000001" customHeight="1"/>
  <cols>
    <col min="1" max="2" width="3.5" style="2" customWidth="1"/>
    <col min="3" max="3" width="2.125" style="2" customWidth="1"/>
    <col min="4" max="4" width="5.625" style="2" customWidth="1"/>
    <col min="5" max="5" width="2.125" style="2" customWidth="1"/>
    <col min="6" max="7" width="3.5" style="2" customWidth="1"/>
    <col min="8" max="8" width="2.125" style="2" customWidth="1"/>
    <col min="9" max="9" width="3.5" style="2" customWidth="1"/>
    <col min="10" max="10" width="8.375" style="2" customWidth="1"/>
    <col min="11" max="11" width="3.5" style="2" customWidth="1"/>
    <col min="12" max="12" width="3.375" style="2" customWidth="1"/>
    <col min="13" max="13" width="5.625" style="2" customWidth="1"/>
    <col min="14" max="14" width="1.625" style="2" customWidth="1"/>
    <col min="15" max="15" width="3.5" style="2" customWidth="1"/>
    <col min="16" max="16" width="1.125" style="2" customWidth="1"/>
    <col min="17" max="17" width="3.5" style="2" customWidth="1"/>
    <col min="18" max="18" width="5.625" style="2" customWidth="1"/>
    <col min="19" max="19" width="11.125" style="2" customWidth="1"/>
    <col min="20" max="20" width="3.5" style="2" customWidth="1"/>
    <col min="21" max="23" width="5.625" style="2" customWidth="1"/>
    <col min="24" max="26" width="3.5" style="2" customWidth="1"/>
    <col min="27" max="27" width="8.625" style="2" customWidth="1"/>
    <col min="28" max="28" width="3.5" style="2" customWidth="1"/>
    <col min="29" max="29" width="13.875" style="2" customWidth="1"/>
    <col min="30" max="30" width="3.5" style="2" customWidth="1"/>
    <col min="31" max="31" width="12.375" style="2" customWidth="1"/>
    <col min="32" max="33" width="8.125" style="2"/>
    <col min="34" max="34" width="8.125" style="2" customWidth="1"/>
    <col min="35" max="16384" width="8.125" style="2"/>
  </cols>
  <sheetData>
    <row r="1" spans="1:31" s="15" customFormat="1" ht="20.100000000000001" customHeight="1">
      <c r="A1" s="185"/>
      <c r="B1" s="14" t="str">
        <f>Menu!B1</f>
        <v>solar rates program  business case model v1</v>
      </c>
    </row>
    <row r="2" spans="1:31" s="88" customFormat="1" ht="20.100000000000001" customHeight="1">
      <c r="B2" s="218" t="s">
        <v>194</v>
      </c>
      <c r="C2" s="218"/>
      <c r="D2" s="217" t="s">
        <v>195</v>
      </c>
      <c r="E2" s="217"/>
      <c r="F2" s="217"/>
      <c r="G2" s="218" t="s">
        <v>196</v>
      </c>
      <c r="H2" s="218"/>
      <c r="I2" s="187"/>
    </row>
    <row r="3" spans="1:31" ht="20.100000000000001" customHeight="1">
      <c r="B3" s="11" t="s">
        <v>1</v>
      </c>
    </row>
    <row r="5" spans="1:31" ht="20.100000000000001" customHeight="1">
      <c r="B5" s="230" t="s">
        <v>235</v>
      </c>
      <c r="C5" s="230"/>
      <c r="D5" s="230"/>
      <c r="E5" s="230"/>
      <c r="F5" s="230"/>
      <c r="G5" s="230"/>
      <c r="H5" s="230"/>
      <c r="I5" s="230"/>
      <c r="J5" s="230"/>
      <c r="K5" s="230"/>
      <c r="L5" s="230"/>
      <c r="M5" s="186"/>
      <c r="Q5" s="227" t="str">
        <f>IF(OR(Q6=Lists!E6,Q6=Lists!E15),"for","for the region of")</f>
        <v>for the region of</v>
      </c>
      <c r="R5" s="227"/>
      <c r="S5" s="227"/>
      <c r="T5" s="227"/>
      <c r="U5" s="227"/>
      <c r="V5" s="227"/>
      <c r="W5" s="227"/>
      <c r="X5" s="227"/>
      <c r="Y5" s="227"/>
      <c r="Z5" s="227"/>
    </row>
    <row r="6" spans="1:31" ht="75.95" customHeight="1">
      <c r="B6" s="230"/>
      <c r="C6" s="230"/>
      <c r="D6" s="230"/>
      <c r="E6" s="230"/>
      <c r="F6" s="230"/>
      <c r="G6" s="230"/>
      <c r="H6" s="230"/>
      <c r="I6" s="230"/>
      <c r="J6" s="230"/>
      <c r="K6" s="230"/>
      <c r="L6" s="230"/>
      <c r="M6" s="186"/>
      <c r="Q6" s="225" t="s">
        <v>233</v>
      </c>
      <c r="R6" s="225"/>
      <c r="S6" s="225"/>
      <c r="T6" s="225"/>
      <c r="U6" s="225"/>
      <c r="V6" s="225"/>
      <c r="W6" s="225"/>
      <c r="X6" s="225"/>
      <c r="Y6" s="225"/>
      <c r="Z6" s="225"/>
      <c r="AA6" s="225"/>
      <c r="AB6" s="225"/>
      <c r="AC6" s="225"/>
      <c r="AD6" s="225"/>
      <c r="AE6" s="225"/>
    </row>
    <row r="7" spans="1:31" ht="44.1" customHeight="1">
      <c r="B7" s="229" t="s">
        <v>236</v>
      </c>
      <c r="C7" s="229"/>
      <c r="D7" s="229"/>
      <c r="E7" s="229"/>
      <c r="F7" s="229"/>
      <c r="G7" s="229"/>
      <c r="H7" s="229"/>
      <c r="I7" s="229"/>
      <c r="J7" s="229"/>
      <c r="K7" s="229"/>
      <c r="L7" s="229"/>
      <c r="M7" s="186"/>
      <c r="Q7" s="235" t="str">
        <f>IF(Q6=Lists!E15,
IFERROR(selectedRegions,"select LGAs to model using the selector boxes below"),
IF(Q6=Lists!E6,
IFERROR(selectedAlliances,"select alliances to model using the selector boxes below"),
""))</f>
        <v/>
      </c>
      <c r="R7" s="235"/>
      <c r="S7" s="235"/>
      <c r="T7" s="235"/>
      <c r="U7" s="235"/>
      <c r="V7" s="235"/>
      <c r="W7" s="235"/>
      <c r="X7" s="235"/>
      <c r="Y7" s="235"/>
      <c r="Z7" s="235"/>
      <c r="AA7" s="235"/>
      <c r="AB7" s="235"/>
      <c r="AC7" s="235"/>
      <c r="AD7" s="235"/>
      <c r="AE7" s="235"/>
    </row>
    <row r="8" spans="1:31" ht="50.1" customHeight="1">
      <c r="B8" s="229"/>
      <c r="C8" s="229"/>
      <c r="D8" s="229"/>
      <c r="E8" s="229"/>
      <c r="F8" s="229"/>
      <c r="G8" s="229"/>
      <c r="H8" s="229"/>
      <c r="I8" s="229"/>
      <c r="J8" s="229"/>
      <c r="K8" s="229"/>
      <c r="L8" s="229"/>
      <c r="M8" s="186"/>
      <c r="Q8" s="223" t="s">
        <v>201</v>
      </c>
      <c r="R8" s="223"/>
      <c r="S8" s="223"/>
      <c r="T8" s="223"/>
      <c r="U8" s="223"/>
      <c r="V8" s="223"/>
      <c r="W8" s="223"/>
      <c r="X8" s="223"/>
      <c r="Y8" s="223"/>
      <c r="Z8" s="223"/>
      <c r="AA8" s="228">
        <f>VLOOKUP($Q$6,demoDataTable,MATCH(demographicData!$B$1,demoDataRows,FALSE),FALSE)</f>
        <v>2281091</v>
      </c>
      <c r="AB8" s="228"/>
      <c r="AC8" s="228"/>
      <c r="AD8" s="228"/>
      <c r="AE8" s="228"/>
    </row>
    <row r="9" spans="1:31" ht="6.95" customHeight="1">
      <c r="B9" s="229"/>
      <c r="C9" s="229"/>
      <c r="D9" s="229"/>
      <c r="E9" s="229"/>
      <c r="F9" s="229"/>
      <c r="G9" s="229"/>
      <c r="H9" s="229"/>
      <c r="I9" s="229"/>
      <c r="J9" s="229"/>
      <c r="K9" s="229"/>
      <c r="L9" s="229"/>
      <c r="M9" s="186"/>
      <c r="Q9" s="80"/>
      <c r="R9" s="85"/>
      <c r="S9" s="85"/>
      <c r="T9" s="85"/>
      <c r="U9" s="85"/>
      <c r="V9" s="85"/>
      <c r="W9" s="85"/>
      <c r="X9" s="85"/>
      <c r="Y9" s="85"/>
      <c r="Z9" s="80"/>
      <c r="AA9" s="81"/>
      <c r="AB9" s="86"/>
      <c r="AC9" s="86"/>
      <c r="AD9" s="81"/>
      <c r="AE9" s="81"/>
    </row>
    <row r="10" spans="1:31" s="10" customFormat="1" ht="42" customHeight="1">
      <c r="B10" s="229"/>
      <c r="C10" s="229"/>
      <c r="D10" s="229"/>
      <c r="E10" s="229"/>
      <c r="F10" s="229"/>
      <c r="G10" s="229"/>
      <c r="H10" s="229"/>
      <c r="I10" s="229"/>
      <c r="J10" s="229"/>
      <c r="K10" s="229"/>
      <c r="L10" s="229"/>
      <c r="M10" s="186"/>
      <c r="Q10" s="237" t="s">
        <v>202</v>
      </c>
      <c r="R10" s="237"/>
      <c r="S10" s="237"/>
      <c r="T10" s="237"/>
      <c r="U10" s="237"/>
      <c r="V10" s="237"/>
      <c r="W10" s="237"/>
      <c r="X10" s="237"/>
      <c r="Y10" s="237"/>
      <c r="Z10" s="237"/>
      <c r="AA10" s="237"/>
      <c r="AB10" s="226">
        <f>VLOOKUP($Q$6,demoDataTable,MATCH(demographicData!$F$1,demoDataRows,FALSE),FALSE)</f>
        <v>406341</v>
      </c>
      <c r="AC10" s="226"/>
      <c r="AD10" s="222">
        <f>IFERROR(AB10/$AA$8,"n/a")</f>
        <v>0.17813449792226616</v>
      </c>
      <c r="AE10" s="222"/>
    </row>
    <row r="11" spans="1:31" s="10" customFormat="1" ht="42" customHeight="1">
      <c r="B11" s="229"/>
      <c r="C11" s="229"/>
      <c r="D11" s="229"/>
      <c r="E11" s="229"/>
      <c r="F11" s="229"/>
      <c r="G11" s="229"/>
      <c r="H11" s="229"/>
      <c r="I11" s="229"/>
      <c r="J11" s="229"/>
      <c r="K11" s="229"/>
      <c r="L11" s="229"/>
      <c r="M11" s="186"/>
      <c r="Q11" s="237" t="s">
        <v>198</v>
      </c>
      <c r="R11" s="237"/>
      <c r="S11" s="237"/>
      <c r="T11" s="237"/>
      <c r="U11" s="237"/>
      <c r="V11" s="237"/>
      <c r="W11" s="237"/>
      <c r="X11" s="237"/>
      <c r="Y11" s="237"/>
      <c r="Z11" s="237"/>
      <c r="AA11" s="237"/>
      <c r="AB11" s="226">
        <f>VLOOKUP($Q$6,demoDataTable,MATCH(demographicData!$D$1,demoDataRows,FALSE),FALSE)</f>
        <v>419152</v>
      </c>
      <c r="AC11" s="226"/>
      <c r="AD11" s="222">
        <f>IFERROR(AB11/$AA$8,"n/a")</f>
        <v>0.18375067018369717</v>
      </c>
      <c r="AE11" s="222"/>
    </row>
    <row r="12" spans="1:31" s="10" customFormat="1" ht="42" customHeight="1">
      <c r="B12" s="229"/>
      <c r="C12" s="229"/>
      <c r="D12" s="229"/>
      <c r="E12" s="229"/>
      <c r="F12" s="229"/>
      <c r="G12" s="229"/>
      <c r="H12" s="229"/>
      <c r="I12" s="229"/>
      <c r="J12" s="229"/>
      <c r="K12" s="229"/>
      <c r="L12" s="229"/>
      <c r="M12" s="186"/>
      <c r="Q12" s="237" t="s">
        <v>197</v>
      </c>
      <c r="R12" s="237"/>
      <c r="S12" s="237"/>
      <c r="T12" s="237"/>
      <c r="U12" s="237"/>
      <c r="V12" s="237"/>
      <c r="W12" s="237"/>
      <c r="X12" s="237"/>
      <c r="Y12" s="237"/>
      <c r="Z12" s="237"/>
      <c r="AA12" s="237"/>
      <c r="AB12" s="226">
        <f>VLOOKUP($Q$6,demoDataTable,MATCH(demographicData!$E$1,demoDataRows,FALSE),FALSE)</f>
        <v>256975</v>
      </c>
      <c r="AC12" s="226"/>
      <c r="AD12" s="222">
        <f>IFERROR(AB12/$AA$8,"n/a")</f>
        <v>0.11265442720172059</v>
      </c>
      <c r="AE12" s="222"/>
    </row>
    <row r="13" spans="1:31" ht="23.1" customHeight="1">
      <c r="B13" s="229"/>
      <c r="C13" s="229"/>
      <c r="D13" s="229"/>
      <c r="E13" s="229"/>
      <c r="F13" s="229"/>
      <c r="G13" s="229"/>
      <c r="H13" s="229"/>
      <c r="I13" s="229"/>
      <c r="J13" s="229"/>
      <c r="K13" s="229"/>
      <c r="L13" s="229"/>
      <c r="M13" s="186"/>
      <c r="Q13" s="79"/>
      <c r="R13" s="79"/>
      <c r="S13" s="79"/>
      <c r="T13" s="79"/>
      <c r="U13" s="79"/>
      <c r="V13" s="79"/>
      <c r="W13" s="79"/>
      <c r="X13" s="79"/>
      <c r="Y13" s="79"/>
      <c r="Z13" s="12"/>
    </row>
    <row r="14" spans="1:31" ht="51" customHeight="1">
      <c r="B14" s="229"/>
      <c r="C14" s="229"/>
      <c r="D14" s="229"/>
      <c r="E14" s="229"/>
      <c r="F14" s="229"/>
      <c r="G14" s="229"/>
      <c r="H14" s="229"/>
      <c r="I14" s="229"/>
      <c r="J14" s="229"/>
      <c r="K14" s="229"/>
      <c r="L14" s="229"/>
      <c r="M14" s="186"/>
      <c r="Q14" s="223" t="s">
        <v>200</v>
      </c>
      <c r="R14" s="223"/>
      <c r="S14" s="223"/>
      <c r="T14" s="223"/>
      <c r="U14" s="223"/>
      <c r="V14" s="223"/>
      <c r="W14" s="223"/>
      <c r="X14" s="223"/>
      <c r="Y14" s="223"/>
      <c r="Z14" s="223"/>
      <c r="AA14" s="224">
        <f>VLOOKUP($Q$6,demoDataTable,MATCH(demographicData!$C$1,demoDataRows,FALSE),FALSE)</f>
        <v>5344927</v>
      </c>
      <c r="AB14" s="224"/>
      <c r="AC14" s="224"/>
      <c r="AD14" s="224"/>
      <c r="AE14" s="224"/>
    </row>
    <row r="15" spans="1:31" ht="12" customHeight="1">
      <c r="B15" s="229"/>
      <c r="C15" s="229"/>
      <c r="D15" s="229"/>
      <c r="E15" s="229"/>
      <c r="F15" s="229"/>
      <c r="G15" s="229"/>
      <c r="H15" s="229"/>
      <c r="I15" s="229"/>
      <c r="J15" s="229"/>
      <c r="K15" s="229"/>
      <c r="L15" s="229"/>
      <c r="M15" s="186"/>
      <c r="Q15" s="80"/>
      <c r="R15" s="85"/>
      <c r="S15" s="85"/>
      <c r="T15" s="85"/>
      <c r="U15" s="85"/>
      <c r="V15" s="85"/>
      <c r="W15" s="85"/>
      <c r="X15" s="85"/>
      <c r="Y15" s="85"/>
      <c r="Z15" s="80"/>
      <c r="AA15" s="81"/>
      <c r="AB15" s="86"/>
      <c r="AC15" s="86"/>
      <c r="AD15" s="81"/>
      <c r="AE15" s="81"/>
    </row>
    <row r="16" spans="1:31" ht="33" customHeight="1">
      <c r="B16" s="229"/>
      <c r="C16" s="229"/>
      <c r="D16" s="229"/>
      <c r="E16" s="229"/>
      <c r="F16" s="229"/>
      <c r="G16" s="229"/>
      <c r="H16" s="229"/>
      <c r="I16" s="229"/>
      <c r="J16" s="229"/>
      <c r="K16" s="229"/>
      <c r="L16" s="229"/>
      <c r="M16" s="186"/>
      <c r="Q16" s="237" t="s">
        <v>199</v>
      </c>
      <c r="R16" s="237"/>
      <c r="S16" s="237"/>
      <c r="T16" s="237"/>
      <c r="U16" s="237"/>
      <c r="V16" s="237"/>
      <c r="W16" s="237"/>
      <c r="X16" s="237"/>
      <c r="Y16" s="237"/>
      <c r="Z16" s="237"/>
      <c r="AA16" s="237"/>
      <c r="AB16" s="226">
        <f>VLOOKUP($Q$6,demoDataTable,MATCH(demographicData!$G$1,demoDataRows,FALSE),FALSE)</f>
        <v>605923</v>
      </c>
      <c r="AC16" s="226"/>
      <c r="AD16" s="222">
        <f>IFERROR(AB16/$AA$14,"n/a")</f>
        <v>0.11336413013685688</v>
      </c>
      <c r="AE16" s="222"/>
    </row>
    <row r="17" spans="2:33" ht="20.100000000000001" customHeight="1" thickBot="1">
      <c r="B17" s="190"/>
      <c r="C17" s="190"/>
      <c r="D17" s="190"/>
      <c r="E17" s="190"/>
      <c r="F17" s="190"/>
      <c r="G17" s="190"/>
      <c r="H17" s="190"/>
      <c r="I17" s="190"/>
      <c r="J17" s="190"/>
      <c r="K17" s="190"/>
      <c r="L17" s="190"/>
      <c r="M17" s="190"/>
      <c r="N17" s="190"/>
      <c r="O17" s="190"/>
      <c r="P17" s="190"/>
      <c r="Q17" s="190"/>
      <c r="R17" s="190"/>
      <c r="S17" s="190"/>
      <c r="T17" s="190"/>
      <c r="U17" s="190"/>
      <c r="V17" s="190"/>
      <c r="W17" s="190"/>
      <c r="X17" s="190"/>
      <c r="Y17" s="190"/>
      <c r="Z17" s="190"/>
      <c r="AA17" s="190"/>
      <c r="AB17" s="190"/>
      <c r="AC17" s="190"/>
      <c r="AD17" s="190"/>
      <c r="AE17" s="190"/>
    </row>
    <row r="18" spans="2:33" ht="8.1" customHeight="1">
      <c r="D18" s="189"/>
      <c r="E18" s="189"/>
      <c r="F18" s="189"/>
      <c r="G18" s="189"/>
      <c r="H18" s="189"/>
      <c r="I18" s="189"/>
      <c r="J18" s="189"/>
      <c r="K18" s="189"/>
      <c r="L18" s="189"/>
      <c r="M18" s="189"/>
      <c r="N18" s="189"/>
      <c r="O18" s="189"/>
      <c r="P18" s="189"/>
      <c r="Q18" s="189"/>
      <c r="R18" s="189"/>
      <c r="S18" s="189"/>
      <c r="T18" s="189"/>
      <c r="U18" s="189"/>
      <c r="V18" s="189"/>
      <c r="W18" s="189"/>
      <c r="X18" s="189"/>
      <c r="Y18" s="189"/>
      <c r="Z18" s="189"/>
      <c r="AA18" s="189"/>
      <c r="AB18" s="189"/>
      <c r="AC18" s="189"/>
      <c r="AD18" s="189"/>
      <c r="AE18" s="189"/>
    </row>
    <row r="19" spans="2:33" ht="89.1" customHeight="1">
      <c r="B19" s="231" t="s">
        <v>241</v>
      </c>
      <c r="C19" s="231"/>
      <c r="D19" s="231"/>
      <c r="E19" s="231"/>
      <c r="F19" s="232" t="s">
        <v>240</v>
      </c>
      <c r="G19" s="232"/>
      <c r="H19" s="232"/>
      <c r="I19" s="232"/>
      <c r="J19" s="232"/>
      <c r="K19" s="232"/>
      <c r="L19" s="232"/>
      <c r="M19" s="232"/>
      <c r="N19" s="232"/>
      <c r="O19" s="232"/>
      <c r="P19" s="232"/>
      <c r="Q19" s="232"/>
      <c r="R19" s="232"/>
      <c r="S19" s="232"/>
      <c r="T19" s="232"/>
      <c r="U19" s="232"/>
      <c r="V19" s="233" t="s">
        <v>242</v>
      </c>
      <c r="W19" s="233"/>
      <c r="X19" s="233"/>
      <c r="Y19" s="233"/>
      <c r="Z19" s="233"/>
      <c r="AA19" s="233"/>
      <c r="AB19" s="233"/>
      <c r="AC19" s="233"/>
      <c r="AD19" s="233"/>
      <c r="AE19" s="233"/>
      <c r="AF19" s="189"/>
    </row>
    <row r="20" spans="2:33" ht="6.95" customHeight="1" thickBot="1">
      <c r="B20" s="190"/>
      <c r="C20" s="190"/>
      <c r="D20" s="190"/>
      <c r="E20" s="190"/>
      <c r="F20" s="190"/>
      <c r="G20" s="190"/>
      <c r="H20" s="190"/>
      <c r="I20" s="190"/>
      <c r="J20" s="190"/>
      <c r="K20" s="190"/>
      <c r="L20" s="190"/>
      <c r="M20" s="190"/>
      <c r="N20" s="190"/>
      <c r="O20" s="190"/>
      <c r="P20" s="190"/>
      <c r="Q20" s="190"/>
      <c r="R20" s="190"/>
      <c r="S20" s="190"/>
      <c r="T20" s="190"/>
      <c r="U20" s="190"/>
      <c r="V20" s="190"/>
      <c r="W20" s="190"/>
      <c r="X20" s="190"/>
      <c r="Y20" s="190"/>
      <c r="Z20" s="190"/>
      <c r="AA20" s="190"/>
      <c r="AB20" s="190"/>
      <c r="AC20" s="190"/>
      <c r="AD20" s="190"/>
      <c r="AE20" s="190"/>
    </row>
    <row r="21" spans="2:33" ht="6.95" customHeight="1">
      <c r="D21" s="189"/>
      <c r="E21" s="189"/>
      <c r="F21" s="189"/>
      <c r="G21" s="189"/>
      <c r="H21" s="189"/>
      <c r="I21" s="189"/>
      <c r="J21" s="189"/>
      <c r="K21" s="189"/>
      <c r="L21" s="189"/>
      <c r="M21" s="189"/>
      <c r="N21" s="189"/>
      <c r="O21" s="189"/>
      <c r="P21" s="189"/>
      <c r="Q21" s="189"/>
      <c r="R21" s="189"/>
      <c r="S21" s="189"/>
      <c r="T21" s="189"/>
      <c r="U21" s="189"/>
      <c r="V21" s="189"/>
      <c r="W21" s="189"/>
      <c r="X21" s="189"/>
      <c r="Y21" s="189"/>
      <c r="Z21" s="189"/>
      <c r="AA21" s="189"/>
      <c r="AB21" s="189"/>
      <c r="AC21" s="189"/>
      <c r="AD21" s="189"/>
      <c r="AE21" s="189"/>
    </row>
    <row r="22" spans="2:33" ht="9" customHeight="1">
      <c r="D22" s="189"/>
      <c r="E22" s="189"/>
      <c r="F22" s="189"/>
      <c r="G22" s="189"/>
      <c r="H22" s="189"/>
      <c r="I22" s="189"/>
      <c r="J22" s="189"/>
      <c r="K22" s="189"/>
      <c r="L22" s="189"/>
      <c r="M22" s="189"/>
      <c r="N22" s="189"/>
      <c r="O22" s="189"/>
      <c r="P22" s="189"/>
      <c r="Q22" s="189"/>
      <c r="R22" s="189"/>
      <c r="S22" s="189"/>
      <c r="T22" s="189"/>
      <c r="U22" s="189"/>
      <c r="V22" s="189"/>
      <c r="W22" s="189"/>
      <c r="X22" s="189"/>
      <c r="Y22" s="189"/>
      <c r="Z22" s="189"/>
      <c r="AA22" s="189"/>
      <c r="AB22" s="189"/>
      <c r="AC22" s="189"/>
      <c r="AD22" s="189"/>
      <c r="AE22" s="189"/>
    </row>
    <row r="23" spans="2:33" ht="15.95" customHeight="1">
      <c r="B23" s="236" t="str">
        <f>IF(Q6=Lists!E15,"create a multi-region market of selected LGA's //",IF(Q6=Lists!E6,"create a multi-region market  of selected alliances //",""))</f>
        <v/>
      </c>
      <c r="C23" s="236"/>
      <c r="D23" s="236"/>
      <c r="E23" s="236"/>
      <c r="F23" s="236"/>
      <c r="G23" s="236"/>
      <c r="H23" s="236"/>
      <c r="I23" s="236"/>
      <c r="J23" s="236"/>
      <c r="K23" s="236"/>
      <c r="L23" s="236"/>
      <c r="M23" s="236"/>
      <c r="N23" s="236"/>
      <c r="O23" s="236"/>
      <c r="P23" s="236"/>
      <c r="Q23" s="236"/>
      <c r="R23" s="236"/>
      <c r="S23" s="236"/>
      <c r="T23" s="236"/>
      <c r="U23" s="236"/>
      <c r="V23" s="236"/>
      <c r="W23" s="197" t="str">
        <f>IF(Q6=Lists!E15,"1. mark each LGA to include in the model with an 'x'",IF(Q6=Lists!E6,"1. mark each alliance to include in the model with an 'x'",""))</f>
        <v/>
      </c>
    </row>
    <row r="24" spans="2:33" ht="15.95" customHeight="1">
      <c r="B24" s="236"/>
      <c r="C24" s="236"/>
      <c r="D24" s="236"/>
      <c r="E24" s="236"/>
      <c r="F24" s="236"/>
      <c r="G24" s="236"/>
      <c r="H24" s="236"/>
      <c r="I24" s="236"/>
      <c r="J24" s="236"/>
      <c r="K24" s="236"/>
      <c r="L24" s="236"/>
      <c r="M24" s="236"/>
      <c r="N24" s="236"/>
      <c r="O24" s="236"/>
      <c r="P24" s="236"/>
      <c r="Q24" s="236"/>
      <c r="R24" s="236"/>
      <c r="S24" s="236"/>
      <c r="T24" s="236"/>
      <c r="U24" s="236"/>
      <c r="V24" s="236"/>
      <c r="W24" s="198" t="str">
        <f>IF(Q6=Lists!E15,"2. choose 'selected LGAs' as the model to model",IF(Q6=Lists!E6,"2. choose 'selected alliances' as the region to model",""))</f>
        <v/>
      </c>
    </row>
    <row r="25" spans="2:33" ht="6.95" customHeight="1"/>
    <row r="26" spans="2:33" ht="20.100000000000001" customHeight="1">
      <c r="B26" s="201"/>
      <c r="C26" s="191" t="s">
        <v>228</v>
      </c>
      <c r="G26" s="201"/>
      <c r="H26" s="191" t="s">
        <v>215</v>
      </c>
      <c r="K26" s="201"/>
      <c r="L26" s="191" t="s">
        <v>218</v>
      </c>
      <c r="Q26" s="201"/>
      <c r="R26" s="191" t="s">
        <v>219</v>
      </c>
      <c r="T26" s="201"/>
      <c r="U26" s="191" t="s">
        <v>230</v>
      </c>
      <c r="X26" s="201"/>
      <c r="Y26" s="191" t="s">
        <v>214</v>
      </c>
      <c r="AB26" s="201"/>
      <c r="AC26" s="191" t="s">
        <v>217</v>
      </c>
      <c r="AD26" s="201"/>
      <c r="AE26" s="200" t="s">
        <v>216</v>
      </c>
    </row>
    <row r="27" spans="2:33" ht="6" customHeight="1"/>
    <row r="28" spans="2:33" ht="20.100000000000001" customHeight="1">
      <c r="B28" s="201"/>
      <c r="C28" s="191" t="str">
        <f t="array" ref="C28:C41">Lists!E16:E29</f>
        <v>Alpine</v>
      </c>
      <c r="I28" s="201"/>
      <c r="J28" s="191" t="str">
        <f t="array" ref="J28:J40">Lists!E30:E42</f>
        <v>Central Goldfields</v>
      </c>
      <c r="K28" s="192"/>
      <c r="L28" s="192"/>
      <c r="M28" s="192"/>
      <c r="N28" s="193"/>
      <c r="O28" s="201"/>
      <c r="P28" s="191" t="str">
        <f t="array" ref="P28:P40">Lists!E43:E55</f>
        <v>Greater Shepparton</v>
      </c>
      <c r="Q28" s="193"/>
      <c r="R28" s="193"/>
      <c r="S28" s="193"/>
      <c r="T28" s="201"/>
      <c r="U28" s="191" t="str">
        <f t="array" ref="U28:U40">Lists!E56:E68</f>
        <v>Mansfield</v>
      </c>
      <c r="V28" s="192"/>
      <c r="W28" s="192"/>
      <c r="X28" s="192"/>
      <c r="Y28" s="199"/>
      <c r="Z28" s="201"/>
      <c r="AA28" s="191" t="str">
        <f t="array" ref="AA28:AA40">Lists!E69:E81</f>
        <v>Mount Alexander</v>
      </c>
      <c r="AB28" s="191"/>
      <c r="AC28" s="191"/>
      <c r="AD28" s="201"/>
      <c r="AE28" s="191" t="str">
        <f t="array" ref="AE28:AE40">Lists!E82:E94</f>
        <v>Swan Hill</v>
      </c>
      <c r="AF28" s="193"/>
      <c r="AG28" s="193"/>
    </row>
    <row r="29" spans="2:33" ht="20.100000000000001" customHeight="1">
      <c r="B29" s="201"/>
      <c r="C29" s="191" t="str">
        <v>Ararat</v>
      </c>
      <c r="I29" s="201"/>
      <c r="J29" s="191" t="str">
        <v>Colac-Otway</v>
      </c>
      <c r="K29" s="192"/>
      <c r="L29" s="192"/>
      <c r="M29" s="192"/>
      <c r="N29" s="193"/>
      <c r="O29" s="201"/>
      <c r="P29" s="191" t="str">
        <v>Hepburn</v>
      </c>
      <c r="Q29" s="193"/>
      <c r="R29" s="193"/>
      <c r="S29" s="193"/>
      <c r="T29" s="201"/>
      <c r="U29" s="191" t="str">
        <v>Maribyrnong</v>
      </c>
      <c r="V29" s="192"/>
      <c r="W29" s="192"/>
      <c r="X29" s="192"/>
      <c r="Z29" s="201"/>
      <c r="AA29" s="191" t="str">
        <v>Moyne</v>
      </c>
      <c r="AB29" s="191"/>
      <c r="AC29" s="191"/>
      <c r="AD29" s="201"/>
      <c r="AE29" s="191" t="str">
        <v>Towong</v>
      </c>
      <c r="AF29" s="193"/>
      <c r="AG29" s="193"/>
    </row>
    <row r="30" spans="2:33" ht="20.100000000000001" customHeight="1">
      <c r="B30" s="201"/>
      <c r="C30" s="191" t="str">
        <v>Ballarat</v>
      </c>
      <c r="I30" s="201"/>
      <c r="J30" s="191" t="str">
        <v>Corangamite</v>
      </c>
      <c r="K30" s="192"/>
      <c r="L30" s="192"/>
      <c r="M30" s="192"/>
      <c r="N30" s="193"/>
      <c r="O30" s="201"/>
      <c r="P30" s="191" t="str">
        <v>Hindmarsh</v>
      </c>
      <c r="Q30" s="193"/>
      <c r="R30" s="193"/>
      <c r="S30" s="193"/>
      <c r="T30" s="201"/>
      <c r="U30" s="191" t="str">
        <v>Maroondah</v>
      </c>
      <c r="V30" s="193"/>
      <c r="W30" s="192"/>
      <c r="X30" s="192"/>
      <c r="Z30" s="201"/>
      <c r="AA30" s="191" t="str">
        <v>Murrindindi</v>
      </c>
      <c r="AB30" s="191"/>
      <c r="AC30" s="191"/>
      <c r="AD30" s="201"/>
      <c r="AE30" s="191" t="str">
        <v>Wangaratta</v>
      </c>
      <c r="AF30" s="193"/>
      <c r="AG30" s="193"/>
    </row>
    <row r="31" spans="2:33" ht="20.100000000000001" customHeight="1">
      <c r="B31" s="201"/>
      <c r="C31" s="191" t="str">
        <v>Banyule</v>
      </c>
      <c r="I31" s="201"/>
      <c r="J31" s="191" t="str">
        <v>Darebin</v>
      </c>
      <c r="K31" s="192"/>
      <c r="L31" s="192"/>
      <c r="M31" s="192"/>
      <c r="N31" s="193"/>
      <c r="O31" s="201"/>
      <c r="P31" s="191" t="str">
        <v>Hobsons Bay</v>
      </c>
      <c r="Q31" s="193"/>
      <c r="R31" s="193"/>
      <c r="S31" s="193"/>
      <c r="T31" s="201"/>
      <c r="U31" s="191" t="str">
        <v>Melbourne</v>
      </c>
      <c r="V31" s="193"/>
      <c r="W31" s="192"/>
      <c r="X31" s="192"/>
      <c r="Z31" s="201"/>
      <c r="AA31" s="191" t="str">
        <v>Nillumbik</v>
      </c>
      <c r="AB31" s="191"/>
      <c r="AC31" s="191"/>
      <c r="AD31" s="201"/>
      <c r="AE31" s="191" t="str">
        <v>Warrnambool</v>
      </c>
      <c r="AF31" s="193"/>
      <c r="AG31" s="193"/>
    </row>
    <row r="32" spans="2:33" ht="20.100000000000001" customHeight="1">
      <c r="B32" s="201"/>
      <c r="C32" s="191" t="str">
        <v>Bass Coast</v>
      </c>
      <c r="I32" s="201"/>
      <c r="J32" s="191" t="str">
        <v>East Gippsland</v>
      </c>
      <c r="K32" s="192"/>
      <c r="L32" s="192"/>
      <c r="M32" s="192"/>
      <c r="N32" s="193"/>
      <c r="O32" s="201"/>
      <c r="P32" s="191" t="str">
        <v>Horsham</v>
      </c>
      <c r="Q32" s="193"/>
      <c r="R32" s="193"/>
      <c r="S32" s="193"/>
      <c r="T32" s="201"/>
      <c r="U32" s="191" t="str">
        <v>Melton</v>
      </c>
      <c r="V32" s="193"/>
      <c r="W32" s="192"/>
      <c r="X32" s="192"/>
      <c r="Z32" s="201"/>
      <c r="AA32" s="191" t="str">
        <v>Northern Grampians</v>
      </c>
      <c r="AB32" s="191"/>
      <c r="AC32" s="191"/>
      <c r="AD32" s="201"/>
      <c r="AE32" s="191" t="str">
        <v>Wellington</v>
      </c>
      <c r="AF32" s="193"/>
      <c r="AG32" s="193"/>
    </row>
    <row r="33" spans="2:33" ht="20.100000000000001" customHeight="1">
      <c r="B33" s="201"/>
      <c r="C33" s="191" t="str">
        <v>Baw Baw</v>
      </c>
      <c r="I33" s="201"/>
      <c r="J33" s="191" t="str">
        <v>Frankston</v>
      </c>
      <c r="K33" s="192"/>
      <c r="L33" s="192"/>
      <c r="M33" s="192"/>
      <c r="N33" s="193"/>
      <c r="O33" s="201"/>
      <c r="P33" s="191" t="str">
        <v>Hume</v>
      </c>
      <c r="Q33" s="193"/>
      <c r="R33" s="193"/>
      <c r="S33" s="193"/>
      <c r="T33" s="201"/>
      <c r="U33" s="191" t="str">
        <v>Mildura</v>
      </c>
      <c r="V33" s="193"/>
      <c r="W33" s="192"/>
      <c r="X33" s="192"/>
      <c r="Z33" s="201"/>
      <c r="AA33" s="191" t="str">
        <v>Port Phillip</v>
      </c>
      <c r="AB33" s="191"/>
      <c r="AC33" s="191"/>
      <c r="AD33" s="201"/>
      <c r="AE33" s="191" t="str">
        <v>West Wimmera</v>
      </c>
      <c r="AF33" s="193"/>
      <c r="AG33" s="193"/>
    </row>
    <row r="34" spans="2:33" ht="20.100000000000001" customHeight="1">
      <c r="B34" s="201"/>
      <c r="C34" s="191" t="str">
        <v>Bayside</v>
      </c>
      <c r="I34" s="201"/>
      <c r="J34" s="191" t="str">
        <v>Gannawarra</v>
      </c>
      <c r="K34" s="192"/>
      <c r="L34" s="192"/>
      <c r="M34" s="192"/>
      <c r="N34" s="193"/>
      <c r="O34" s="201"/>
      <c r="P34" s="191" t="str">
        <v>Indigo</v>
      </c>
      <c r="Q34" s="193"/>
      <c r="R34" s="193"/>
      <c r="S34" s="193"/>
      <c r="T34" s="201"/>
      <c r="U34" s="191" t="str">
        <v>Mitchell</v>
      </c>
      <c r="V34" s="193"/>
      <c r="W34" s="192"/>
      <c r="X34" s="192"/>
      <c r="Z34" s="201"/>
      <c r="AA34" s="191" t="str">
        <v>Pyrenees</v>
      </c>
      <c r="AB34" s="191"/>
      <c r="AC34" s="191"/>
      <c r="AD34" s="201"/>
      <c r="AE34" s="191" t="str">
        <v>Whitehorse</v>
      </c>
      <c r="AF34" s="193"/>
      <c r="AG34" s="193"/>
    </row>
    <row r="35" spans="2:33" ht="20.100000000000001" customHeight="1">
      <c r="B35" s="201"/>
      <c r="C35" s="191" t="str">
        <v>Benalla</v>
      </c>
      <c r="I35" s="201"/>
      <c r="J35" s="191" t="str">
        <v>Glen Eira</v>
      </c>
      <c r="K35" s="192"/>
      <c r="L35" s="192"/>
      <c r="M35" s="192"/>
      <c r="N35" s="193"/>
      <c r="O35" s="201"/>
      <c r="P35" s="191" t="str">
        <v>Kingston</v>
      </c>
      <c r="Q35" s="193"/>
      <c r="R35" s="193"/>
      <c r="S35" s="193"/>
      <c r="T35" s="201"/>
      <c r="U35" s="191" t="str">
        <v>Moira</v>
      </c>
      <c r="V35" s="193"/>
      <c r="W35" s="192"/>
      <c r="X35" s="192"/>
      <c r="Z35" s="201"/>
      <c r="AA35" s="191" t="str">
        <v>Queenscliffe</v>
      </c>
      <c r="AB35" s="191"/>
      <c r="AC35" s="191"/>
      <c r="AD35" s="201"/>
      <c r="AE35" s="191" t="str">
        <v>Whittlesea</v>
      </c>
      <c r="AF35" s="193"/>
      <c r="AG35" s="193"/>
    </row>
    <row r="36" spans="2:33" ht="20.100000000000001" customHeight="1">
      <c r="B36" s="201"/>
      <c r="C36" s="191" t="str">
        <v>Boroondara</v>
      </c>
      <c r="I36" s="201"/>
      <c r="J36" s="191" t="str">
        <v>Glenelg</v>
      </c>
      <c r="K36" s="192"/>
      <c r="L36" s="192"/>
      <c r="M36" s="192"/>
      <c r="N36" s="193"/>
      <c r="O36" s="201"/>
      <c r="P36" s="191" t="str">
        <v>Knox</v>
      </c>
      <c r="Q36" s="193"/>
      <c r="R36" s="193"/>
      <c r="S36" s="193"/>
      <c r="T36" s="201"/>
      <c r="U36" s="191" t="str">
        <v>Monash</v>
      </c>
      <c r="V36" s="193"/>
      <c r="W36" s="192"/>
      <c r="X36" s="192"/>
      <c r="Z36" s="201"/>
      <c r="AA36" s="191" t="str">
        <v>South Gippsland</v>
      </c>
      <c r="AB36" s="191"/>
      <c r="AC36" s="191"/>
      <c r="AD36" s="201"/>
      <c r="AE36" s="191" t="str">
        <v>Wodonga</v>
      </c>
      <c r="AF36" s="193"/>
      <c r="AG36" s="193"/>
    </row>
    <row r="37" spans="2:33" ht="20.100000000000001" customHeight="1">
      <c r="B37" s="201"/>
      <c r="C37" s="191" t="str">
        <v>Brimbank</v>
      </c>
      <c r="I37" s="201"/>
      <c r="J37" s="191" t="str">
        <v>Golden Plains</v>
      </c>
      <c r="K37" s="192"/>
      <c r="L37" s="192"/>
      <c r="M37" s="192"/>
      <c r="N37" s="193"/>
      <c r="O37" s="201"/>
      <c r="P37" s="191" t="str">
        <v>Latrobe</v>
      </c>
      <c r="Q37" s="193"/>
      <c r="R37" s="193"/>
      <c r="S37" s="193"/>
      <c r="T37" s="201"/>
      <c r="U37" s="191" t="str">
        <v>Moonee Valley</v>
      </c>
      <c r="V37" s="193"/>
      <c r="W37" s="192"/>
      <c r="X37" s="192"/>
      <c r="Z37" s="201"/>
      <c r="AA37" s="191" t="str">
        <v>Southern Grampians</v>
      </c>
      <c r="AB37" s="191"/>
      <c r="AC37" s="191"/>
      <c r="AD37" s="201"/>
      <c r="AE37" s="191" t="str">
        <v>Wyndham</v>
      </c>
      <c r="AF37" s="193"/>
      <c r="AG37" s="193"/>
    </row>
    <row r="38" spans="2:33" ht="20.100000000000001" customHeight="1">
      <c r="B38" s="201"/>
      <c r="C38" s="191" t="str">
        <v>Buloke</v>
      </c>
      <c r="I38" s="201"/>
      <c r="J38" s="191" t="str">
        <v>Greater Bendigo</v>
      </c>
      <c r="K38" s="192"/>
      <c r="L38" s="192"/>
      <c r="M38" s="192"/>
      <c r="N38" s="193"/>
      <c r="O38" s="201"/>
      <c r="P38" s="191" t="str">
        <v>Loddon</v>
      </c>
      <c r="Q38" s="193"/>
      <c r="R38" s="193"/>
      <c r="S38" s="193"/>
      <c r="T38" s="201"/>
      <c r="U38" s="191" t="str">
        <v>Moorabool</v>
      </c>
      <c r="V38" s="193"/>
      <c r="W38" s="192"/>
      <c r="X38" s="192"/>
      <c r="Z38" s="201"/>
      <c r="AA38" s="191" t="str">
        <v>Stonnington</v>
      </c>
      <c r="AB38" s="191"/>
      <c r="AC38" s="191"/>
      <c r="AD38" s="201"/>
      <c r="AE38" s="191" t="str">
        <v>Yarra</v>
      </c>
      <c r="AF38" s="193"/>
      <c r="AG38" s="193"/>
    </row>
    <row r="39" spans="2:33" ht="20.100000000000001" customHeight="1">
      <c r="B39" s="201"/>
      <c r="C39" s="191" t="str">
        <v>Campaspe</v>
      </c>
      <c r="I39" s="201"/>
      <c r="J39" s="191" t="str">
        <v>Greater Dandenong</v>
      </c>
      <c r="K39" s="192"/>
      <c r="L39" s="192"/>
      <c r="M39" s="192"/>
      <c r="N39" s="193"/>
      <c r="O39" s="201"/>
      <c r="P39" s="191" t="str">
        <v>Macedon Ranges</v>
      </c>
      <c r="Q39" s="193"/>
      <c r="R39" s="193"/>
      <c r="S39" s="193"/>
      <c r="T39" s="201"/>
      <c r="U39" s="191" t="str">
        <v>Moreland</v>
      </c>
      <c r="V39" s="193"/>
      <c r="W39" s="192"/>
      <c r="X39" s="192"/>
      <c r="Z39" s="201"/>
      <c r="AA39" s="191" t="str">
        <v>Strathbogie</v>
      </c>
      <c r="AB39" s="191"/>
      <c r="AC39" s="191"/>
      <c r="AD39" s="201"/>
      <c r="AE39" s="191" t="str">
        <v>Yarra Ranges</v>
      </c>
      <c r="AF39" s="193"/>
      <c r="AG39" s="193"/>
    </row>
    <row r="40" spans="2:33" ht="20.100000000000001" customHeight="1">
      <c r="B40" s="201"/>
      <c r="C40" s="191" t="str">
        <v>Cardinia</v>
      </c>
      <c r="I40" s="201"/>
      <c r="J40" s="191" t="str">
        <v>Greater Geelong</v>
      </c>
      <c r="K40" s="192"/>
      <c r="L40" s="192"/>
      <c r="M40" s="192"/>
      <c r="N40" s="193"/>
      <c r="O40" s="201"/>
      <c r="P40" s="191" t="str">
        <v>Manningham</v>
      </c>
      <c r="Q40" s="193"/>
      <c r="R40" s="193"/>
      <c r="S40" s="193"/>
      <c r="T40" s="201"/>
      <c r="U40" s="191" t="str">
        <v>Mornington Peninsula</v>
      </c>
      <c r="V40" s="193"/>
      <c r="W40" s="192"/>
      <c r="X40" s="192"/>
      <c r="Z40" s="201"/>
      <c r="AA40" s="191" t="str">
        <v>Surf Coast</v>
      </c>
      <c r="AB40" s="191"/>
      <c r="AC40" s="191"/>
      <c r="AD40" s="201"/>
      <c r="AE40" s="191" t="str">
        <v>Yarriambiack</v>
      </c>
      <c r="AF40" s="193"/>
      <c r="AG40" s="193"/>
    </row>
    <row r="41" spans="2:33" ht="20.100000000000001" customHeight="1">
      <c r="B41" s="201"/>
      <c r="C41" s="191" t="str">
        <v>Casey</v>
      </c>
      <c r="I41" s="192"/>
      <c r="J41" s="192"/>
      <c r="K41" s="192"/>
      <c r="L41" s="192"/>
      <c r="M41" s="192"/>
      <c r="N41" s="193"/>
      <c r="O41" s="193"/>
      <c r="P41" s="193"/>
      <c r="Q41" s="193"/>
      <c r="R41" s="193"/>
      <c r="S41" s="193"/>
      <c r="T41" s="193"/>
      <c r="U41" s="193"/>
      <c r="V41" s="193"/>
      <c r="W41" s="192"/>
      <c r="X41" s="192"/>
      <c r="Y41" s="193"/>
      <c r="Z41" s="193"/>
      <c r="AA41" s="193"/>
      <c r="AB41" s="193"/>
      <c r="AC41" s="193"/>
      <c r="AD41" s="193"/>
      <c r="AE41" s="193"/>
      <c r="AF41" s="193"/>
      <c r="AG41" s="193"/>
    </row>
    <row r="42" spans="2:33" ht="20.100000000000001" customHeight="1">
      <c r="I42" s="192"/>
      <c r="J42" s="192"/>
      <c r="K42" s="192"/>
      <c r="L42" s="192"/>
      <c r="M42" s="192"/>
      <c r="N42" s="193"/>
      <c r="O42" s="193"/>
      <c r="P42" s="193"/>
      <c r="Q42" s="193"/>
      <c r="R42" s="193"/>
      <c r="S42" s="193"/>
      <c r="T42" s="193"/>
      <c r="U42" s="193"/>
      <c r="V42" s="193"/>
      <c r="W42" s="192"/>
      <c r="X42" s="192"/>
      <c r="Y42" s="193"/>
      <c r="Z42" s="192"/>
      <c r="AA42" s="193"/>
      <c r="AB42" s="193"/>
      <c r="AC42" s="193"/>
      <c r="AD42" s="193"/>
      <c r="AE42" s="193"/>
      <c r="AF42" s="193"/>
      <c r="AG42" s="193"/>
    </row>
    <row r="43" spans="2:33" ht="20.100000000000001" customHeight="1">
      <c r="I43" s="193"/>
      <c r="J43" s="193"/>
      <c r="K43" s="192"/>
      <c r="L43" s="192"/>
      <c r="M43" s="192"/>
      <c r="N43" s="193"/>
      <c r="O43" s="193"/>
      <c r="P43" s="193"/>
      <c r="Q43" s="193"/>
      <c r="R43" s="193"/>
      <c r="S43" s="193"/>
      <c r="T43" s="193"/>
      <c r="U43" s="193"/>
      <c r="V43" s="192"/>
      <c r="W43" s="192"/>
      <c r="X43" s="192"/>
      <c r="Y43" s="193"/>
      <c r="Z43" s="192"/>
      <c r="AA43" s="193"/>
      <c r="AB43" s="193"/>
      <c r="AC43" s="193"/>
      <c r="AD43" s="193"/>
      <c r="AE43" s="193"/>
      <c r="AF43" s="193"/>
      <c r="AG43" s="193"/>
    </row>
    <row r="44" spans="2:33" ht="20.100000000000001" customHeight="1">
      <c r="K44" s="10"/>
      <c r="L44" s="10"/>
      <c r="M44" s="10"/>
      <c r="V44" s="10"/>
      <c r="W44" s="10"/>
      <c r="X44" s="10"/>
      <c r="Z44" s="10"/>
    </row>
    <row r="45" spans="2:33" ht="20.100000000000001" customHeight="1">
      <c r="K45" s="10"/>
      <c r="L45" s="10"/>
      <c r="M45" s="10"/>
      <c r="V45" s="10"/>
      <c r="W45" s="10"/>
      <c r="X45" s="10"/>
      <c r="Z45" s="10"/>
    </row>
    <row r="46" spans="2:33" ht="20.100000000000001" customHeight="1">
      <c r="K46" s="10"/>
      <c r="L46" s="10"/>
      <c r="M46" s="10"/>
      <c r="V46" s="10"/>
      <c r="W46" s="10"/>
      <c r="X46" s="10"/>
      <c r="Z46" s="10"/>
    </row>
    <row r="47" spans="2:33" ht="20.100000000000001" customHeight="1">
      <c r="K47" s="10"/>
      <c r="L47" s="10"/>
      <c r="M47" s="10"/>
      <c r="T47" s="10"/>
      <c r="U47" s="10"/>
      <c r="V47" s="10"/>
      <c r="W47" s="10"/>
      <c r="X47" s="10"/>
      <c r="Y47" s="10"/>
      <c r="Z47" s="10"/>
    </row>
    <row r="51" spans="7:15" ht="20.100000000000001" customHeight="1">
      <c r="K51" s="234"/>
      <c r="L51" s="234"/>
      <c r="M51" s="234"/>
      <c r="N51" s="234"/>
      <c r="O51" s="234"/>
    </row>
    <row r="52" spans="7:15" ht="20.100000000000001" customHeight="1">
      <c r="K52" s="234"/>
      <c r="L52" s="234"/>
      <c r="M52" s="234"/>
      <c r="N52" s="234"/>
      <c r="O52" s="234"/>
    </row>
    <row r="62" spans="7:15" ht="20.100000000000001" customHeight="1">
      <c r="G62" s="192"/>
      <c r="H62" s="192"/>
    </row>
    <row r="63" spans="7:15" ht="20.100000000000001" customHeight="1">
      <c r="G63" s="192"/>
      <c r="H63" s="192"/>
    </row>
    <row r="64" spans="7:15" ht="20.100000000000001" customHeight="1">
      <c r="G64" s="192"/>
      <c r="H64" s="192"/>
    </row>
    <row r="65" spans="7:8" ht="20.100000000000001" customHeight="1">
      <c r="G65" s="192"/>
      <c r="H65" s="192"/>
    </row>
    <row r="66" spans="7:8" ht="20.100000000000001" customHeight="1">
      <c r="G66" s="192"/>
      <c r="H66" s="192"/>
    </row>
    <row r="67" spans="7:8" ht="20.100000000000001" customHeight="1">
      <c r="G67" s="192"/>
      <c r="H67" s="192"/>
    </row>
    <row r="68" spans="7:8" ht="20.100000000000001" customHeight="1">
      <c r="G68" s="192"/>
      <c r="H68" s="192"/>
    </row>
    <row r="69" spans="7:8" ht="20.100000000000001" customHeight="1">
      <c r="G69" s="192"/>
      <c r="H69" s="192"/>
    </row>
    <row r="70" spans="7:8" ht="20.100000000000001" customHeight="1">
      <c r="G70" s="192"/>
      <c r="H70" s="192"/>
    </row>
    <row r="71" spans="7:8" ht="20.100000000000001" customHeight="1">
      <c r="G71" s="192"/>
      <c r="H71" s="192"/>
    </row>
    <row r="72" spans="7:8" ht="20.100000000000001" customHeight="1">
      <c r="G72" s="192"/>
      <c r="H72" s="192"/>
    </row>
    <row r="73" spans="7:8" ht="20.100000000000001" customHeight="1">
      <c r="G73" s="192"/>
      <c r="H73" s="192"/>
    </row>
    <row r="74" spans="7:8" ht="20.100000000000001" customHeight="1">
      <c r="G74" s="192"/>
      <c r="H74" s="192"/>
    </row>
    <row r="75" spans="7:8" ht="20.100000000000001" customHeight="1">
      <c r="G75" s="192"/>
      <c r="H75" s="192"/>
    </row>
    <row r="76" spans="7:8" ht="20.100000000000001" customHeight="1">
      <c r="G76" s="192"/>
      <c r="H76" s="192"/>
    </row>
    <row r="77" spans="7:8" ht="20.100000000000001" customHeight="1">
      <c r="G77" s="192"/>
      <c r="H77" s="192"/>
    </row>
    <row r="78" spans="7:8" ht="20.100000000000001" customHeight="1">
      <c r="G78" s="192"/>
      <c r="H78" s="192"/>
    </row>
    <row r="79" spans="7:8" ht="20.100000000000001" customHeight="1">
      <c r="G79" s="192"/>
      <c r="H79" s="192"/>
    </row>
    <row r="80" spans="7:8" ht="20.100000000000001" customHeight="1">
      <c r="G80" s="192"/>
      <c r="H80" s="192"/>
    </row>
    <row r="81" spans="7:8" ht="20.100000000000001" customHeight="1">
      <c r="G81" s="192"/>
      <c r="H81" s="192"/>
    </row>
    <row r="82" spans="7:8" ht="20.100000000000001" customHeight="1">
      <c r="G82" s="192"/>
      <c r="H82" s="192"/>
    </row>
    <row r="83" spans="7:8" ht="20.100000000000001" customHeight="1">
      <c r="G83" s="192"/>
      <c r="H83" s="192"/>
    </row>
    <row r="84" spans="7:8" ht="20.100000000000001" customHeight="1">
      <c r="G84" s="192"/>
      <c r="H84" s="192"/>
    </row>
    <row r="85" spans="7:8" ht="20.100000000000001" customHeight="1">
      <c r="G85" s="192"/>
      <c r="H85" s="192"/>
    </row>
    <row r="86" spans="7:8" ht="20.100000000000001" customHeight="1">
      <c r="G86" s="192"/>
      <c r="H86" s="192"/>
    </row>
    <row r="87" spans="7:8" ht="20.100000000000001" customHeight="1">
      <c r="G87" s="192"/>
      <c r="H87" s="192"/>
    </row>
    <row r="88" spans="7:8" ht="20.100000000000001" customHeight="1">
      <c r="G88" s="192"/>
      <c r="H88" s="192"/>
    </row>
    <row r="89" spans="7:8" ht="20.100000000000001" customHeight="1">
      <c r="G89" s="192"/>
      <c r="H89" s="192"/>
    </row>
    <row r="90" spans="7:8" ht="20.100000000000001" customHeight="1">
      <c r="G90" s="192"/>
      <c r="H90" s="192"/>
    </row>
    <row r="91" spans="7:8" ht="20.100000000000001" customHeight="1">
      <c r="G91" s="192"/>
      <c r="H91" s="192"/>
    </row>
    <row r="92" spans="7:8" ht="20.100000000000001" customHeight="1">
      <c r="G92" s="192"/>
      <c r="H92" s="192"/>
    </row>
    <row r="93" spans="7:8" ht="20.100000000000001" customHeight="1">
      <c r="G93" s="192"/>
      <c r="H93" s="192"/>
    </row>
    <row r="94" spans="7:8" ht="20.100000000000001" customHeight="1">
      <c r="G94" s="192"/>
      <c r="H94" s="192"/>
    </row>
    <row r="95" spans="7:8" ht="20.100000000000001" customHeight="1">
      <c r="G95" s="192"/>
      <c r="H95" s="192"/>
    </row>
    <row r="96" spans="7:8" ht="20.100000000000001" customHeight="1">
      <c r="G96" s="192"/>
      <c r="H96" s="192"/>
    </row>
    <row r="97" spans="7:8" ht="20.100000000000001" customHeight="1">
      <c r="G97" s="192"/>
      <c r="H97" s="192"/>
    </row>
    <row r="98" spans="7:8" ht="20.100000000000001" customHeight="1">
      <c r="G98" s="192"/>
      <c r="H98" s="192"/>
    </row>
    <row r="99" spans="7:8" ht="20.100000000000001" customHeight="1">
      <c r="G99" s="192"/>
      <c r="H99" s="192"/>
    </row>
    <row r="100" spans="7:8" ht="20.100000000000001" customHeight="1">
      <c r="G100" s="192"/>
      <c r="H100" s="192"/>
    </row>
    <row r="101" spans="7:8" ht="20.100000000000001" customHeight="1">
      <c r="G101" s="192"/>
      <c r="H101" s="192"/>
    </row>
    <row r="102" spans="7:8" ht="20.100000000000001" customHeight="1">
      <c r="G102" s="192"/>
      <c r="H102" s="192"/>
    </row>
    <row r="103" spans="7:8" ht="20.100000000000001" customHeight="1">
      <c r="G103" s="192"/>
      <c r="H103" s="192"/>
    </row>
    <row r="104" spans="7:8" ht="20.100000000000001" customHeight="1">
      <c r="G104" s="192"/>
      <c r="H104" s="192"/>
    </row>
    <row r="105" spans="7:8" ht="20.100000000000001" customHeight="1">
      <c r="G105" s="192"/>
      <c r="H105" s="192"/>
    </row>
    <row r="106" spans="7:8" ht="20.100000000000001" customHeight="1">
      <c r="G106" s="192"/>
      <c r="H106" s="192"/>
    </row>
  </sheetData>
  <mergeCells count="29">
    <mergeCell ref="B19:E19"/>
    <mergeCell ref="F19:U19"/>
    <mergeCell ref="V19:AE19"/>
    <mergeCell ref="K51:O52"/>
    <mergeCell ref="Q7:AE7"/>
    <mergeCell ref="B23:V24"/>
    <mergeCell ref="AB11:AC11"/>
    <mergeCell ref="AB12:AC12"/>
    <mergeCell ref="AB16:AC16"/>
    <mergeCell ref="Q10:AA10"/>
    <mergeCell ref="Q11:AA11"/>
    <mergeCell ref="Q12:AA12"/>
    <mergeCell ref="Q16:AA16"/>
    <mergeCell ref="D2:F2"/>
    <mergeCell ref="B2:C2"/>
    <mergeCell ref="AD10:AE10"/>
    <mergeCell ref="AD16:AE16"/>
    <mergeCell ref="Q8:Z8"/>
    <mergeCell ref="Q14:Z14"/>
    <mergeCell ref="AA14:AE14"/>
    <mergeCell ref="Q6:AE6"/>
    <mergeCell ref="AB10:AC10"/>
    <mergeCell ref="Q5:Z5"/>
    <mergeCell ref="AD11:AE11"/>
    <mergeCell ref="AD12:AE12"/>
    <mergeCell ref="AA8:AE8"/>
    <mergeCell ref="G2:H2"/>
    <mergeCell ref="B7:L16"/>
    <mergeCell ref="B5:L6"/>
  </mergeCells>
  <dataValidations count="3">
    <dataValidation type="list" allowBlank="1" showInputMessage="1" showErrorMessage="1" sqref="Q6">
      <formula1>region</formula1>
    </dataValidation>
    <dataValidation type="list" allowBlank="1" showInputMessage="1" showErrorMessage="1" sqref="K51:O52">
      <formula1>#REF!</formula1>
    </dataValidation>
    <dataValidation type="list" allowBlank="1" showInputMessage="1" showErrorMessage="1" error="Please mark each LGA you'd like to include with a (lower case) &quot;x&quot;" sqref="AD28:AD40 I28:I40 O28:O40 G26 AB26 Q26 T28:T40 X26 B28:B41 Z28:Z40 B26 T26 AD26 K26">
      <formula1>"x"</formula1>
    </dataValidation>
  </dataValidations>
  <hyperlinks>
    <hyperlink ref="G2" location="ProgramModel!A1" display="model"/>
    <hyperlink ref="B2" location="Menu!A1" display="menu"/>
    <hyperlink ref="C2" location="Menu!A1" display="Menu!A1"/>
  </hyperlinks>
  <pageMargins left="0.75" right="0.75" top="1" bottom="1" header="0.5" footer="0.5"/>
  <pageSetup paperSize="8" orientation="portrait" horizontalDpi="4294967292" verticalDpi="4294967292"/>
  <extLst>
    <ext xmlns:x14="http://schemas.microsoft.com/office/spreadsheetml/2009/9/main" uri="{78C0D931-6437-407d-A8EE-F0AAD7539E65}">
      <x14:conditionalFormattings>
        <x14:conditionalFormatting xmlns:xm="http://schemas.microsoft.com/office/excel/2006/main">
          <x14:cfRule type="expression" priority="3" id="{C0316D80-E8BD-6244-AB21-0C479EBB046D}">
            <xm:f>$Q$6&lt;&gt;Lists!$E$15</xm:f>
            <x14:dxf>
              <font>
                <color theme="0"/>
              </font>
              <fill>
                <patternFill patternType="none">
                  <fgColor indexed="64"/>
                  <bgColor auto="1"/>
                </patternFill>
              </fill>
              <border>
                <left/>
                <right/>
                <top/>
                <bottom/>
              </border>
            </x14:dxf>
          </x14:cfRule>
          <xm:sqref>B28:AE41</xm:sqref>
        </x14:conditionalFormatting>
        <x14:conditionalFormatting xmlns:xm="http://schemas.microsoft.com/office/excel/2006/main">
          <x14:cfRule type="expression" priority="1" id="{F4A2419B-0E36-214D-8C03-20CA19120DAD}">
            <xm:f>$Q$6&lt;&gt;Lists!$E$6</xm:f>
            <x14:dxf>
              <font>
                <color theme="0"/>
              </font>
              <fill>
                <patternFill patternType="none">
                  <fgColor indexed="64"/>
                  <bgColor auto="1"/>
                </patternFill>
              </fill>
              <border>
                <left/>
                <right/>
                <top/>
                <bottom/>
              </border>
            </x14:dxf>
          </x14:cfRule>
          <xm:sqref>B26:E26 J26:AE26 G26:H26</xm:sqref>
        </x14:conditionalFormatting>
      </x14:conditionalFormattings>
    </ext>
  </extLst>
</worksheet>
</file>

<file path=xl/worksheets/sheet3.xml><?xml version="1.0" encoding="utf-8"?>
<worksheet xmlns="http://schemas.openxmlformats.org/spreadsheetml/2006/main" xmlns:r="http://schemas.openxmlformats.org/officeDocument/2006/relationships">
  <dimension ref="A1:BR77"/>
  <sheetViews>
    <sheetView showGridLines="0" showRowColHeaders="0" zoomScale="70" zoomScaleNormal="70" workbookViewId="0">
      <pane ySplit="4" topLeftCell="A5" activePane="bottomLeft" state="frozenSplit"/>
      <selection activeCell="W25" sqref="W25:X26"/>
      <selection pane="bottomLeft" activeCell="B45" sqref="B45"/>
    </sheetView>
  </sheetViews>
  <sheetFormatPr defaultColWidth="8.125" defaultRowHeight="20.100000000000001" customHeight="1" outlineLevelCol="1"/>
  <cols>
    <col min="1" max="1" width="3.5" style="2" customWidth="1"/>
    <col min="2" max="3" width="3.125" style="2" customWidth="1"/>
    <col min="4" max="6" width="5.625" style="2" customWidth="1"/>
    <col min="7" max="7" width="5.625" style="13" customWidth="1"/>
    <col min="8" max="11" width="5.625" style="2" customWidth="1"/>
    <col min="12" max="12" width="3" style="2" customWidth="1"/>
    <col min="13" max="13" width="11.625" style="2" customWidth="1"/>
    <col min="14" max="14" width="7.625" style="2" customWidth="1"/>
    <col min="15" max="18" width="5.625" style="2" customWidth="1"/>
    <col min="19" max="19" width="13.125" style="2" customWidth="1"/>
    <col min="20" max="20" width="5.625" style="2" customWidth="1"/>
    <col min="21" max="21" width="13.875" style="2" customWidth="1"/>
    <col min="22" max="22" width="5.5" style="2" customWidth="1"/>
    <col min="23" max="23" width="3.625" style="2" customWidth="1"/>
    <col min="24" max="24" width="7" style="2" customWidth="1"/>
    <col min="25" max="25" width="5.5" style="2" customWidth="1"/>
    <col min="26" max="27" width="6.125" style="2" customWidth="1"/>
    <col min="28" max="28" width="5.5" style="2" customWidth="1"/>
    <col min="29" max="29" width="7.5" style="2" customWidth="1"/>
    <col min="30" max="30" width="2.625" style="2" customWidth="1"/>
    <col min="31" max="31" width="7.875" style="2" customWidth="1"/>
    <col min="32" max="32" width="4.375" style="2" customWidth="1"/>
    <col min="33" max="69" width="5.5" style="2" customWidth="1" outlineLevel="1"/>
    <col min="70" max="70" width="8.125" style="2" customWidth="1" outlineLevel="1"/>
    <col min="71" max="71" width="5.375" style="2" customWidth="1"/>
    <col min="72" max="16384" width="8.125" style="2"/>
  </cols>
  <sheetData>
    <row r="1" spans="1:69" s="20" customFormat="1" ht="20.100000000000001" customHeight="1">
      <c r="A1" s="83"/>
      <c r="B1" s="19" t="str">
        <f>Menu!B1</f>
        <v>solar rates program  business case model v1</v>
      </c>
      <c r="C1" s="19"/>
      <c r="G1" s="21"/>
      <c r="AH1" s="20" t="s">
        <v>152</v>
      </c>
    </row>
    <row r="2" spans="1:69" s="88" customFormat="1" ht="20.100000000000001" customHeight="1">
      <c r="B2" s="218" t="s">
        <v>194</v>
      </c>
      <c r="C2" s="218"/>
      <c r="D2" s="218" t="s">
        <v>195</v>
      </c>
      <c r="E2" s="218"/>
      <c r="F2" s="135" t="s">
        <v>196</v>
      </c>
      <c r="H2" s="136"/>
      <c r="J2" s="137"/>
    </row>
    <row r="3" spans="1:69" ht="20.100000000000001" customHeight="1">
      <c r="D3" s="18"/>
    </row>
    <row r="4" spans="1:69" ht="39.950000000000003" customHeight="1">
      <c r="B4" s="242" t="s">
        <v>234</v>
      </c>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row>
    <row r="6" spans="1:69" s="1" customFormat="1" ht="24.95" customHeight="1">
      <c r="B6" s="270" t="s">
        <v>153</v>
      </c>
      <c r="C6" s="270"/>
      <c r="D6" s="270"/>
      <c r="E6" s="270"/>
      <c r="F6" s="270"/>
      <c r="G6" s="270"/>
      <c r="H6" s="270"/>
      <c r="I6" s="270"/>
      <c r="J6" s="270"/>
      <c r="K6" s="270"/>
      <c r="M6" s="259"/>
      <c r="O6" s="272" t="s">
        <v>143</v>
      </c>
      <c r="P6" s="272"/>
      <c r="Q6" s="272"/>
      <c r="R6" s="272"/>
      <c r="S6" s="272"/>
      <c r="T6" s="272"/>
      <c r="U6" s="272"/>
      <c r="V6" s="272"/>
      <c r="W6" s="272"/>
      <c r="X6" s="272"/>
      <c r="Y6" s="272"/>
      <c r="Z6" s="272"/>
      <c r="AA6" s="272"/>
      <c r="AB6" s="234" t="s">
        <v>168</v>
      </c>
      <c r="AC6" s="234"/>
      <c r="AD6" s="234"/>
      <c r="AE6" s="234"/>
      <c r="AF6" s="61"/>
      <c r="AG6" s="138"/>
      <c r="AH6" s="138"/>
      <c r="AI6" s="251" t="s">
        <v>190</v>
      </c>
      <c r="AJ6" s="251"/>
      <c r="AK6" s="251"/>
      <c r="AL6" s="251"/>
      <c r="AM6" s="251"/>
      <c r="AN6" s="251"/>
      <c r="AO6" s="251"/>
      <c r="AP6" s="251"/>
      <c r="AQ6" s="251"/>
      <c r="AR6" s="251"/>
      <c r="AS6" s="251"/>
      <c r="AT6" s="251"/>
      <c r="AU6" s="251"/>
      <c r="AV6" s="251"/>
      <c r="AW6" s="251"/>
      <c r="AX6" s="251"/>
      <c r="AY6" s="251"/>
      <c r="AZ6" s="251"/>
      <c r="BA6" s="251"/>
      <c r="BB6" s="251"/>
      <c r="BC6" s="251"/>
      <c r="BD6" s="251"/>
      <c r="BE6" s="251"/>
      <c r="BF6" s="251"/>
      <c r="BG6" s="251"/>
      <c r="BH6" s="251"/>
      <c r="BI6" s="251"/>
      <c r="BJ6" s="251"/>
      <c r="BK6" s="251"/>
      <c r="BL6" s="251"/>
      <c r="BM6" s="251"/>
      <c r="BN6" s="251"/>
      <c r="BO6" s="251"/>
      <c r="BP6" s="251"/>
      <c r="BQ6" s="251"/>
    </row>
    <row r="7" spans="1:69" s="1" customFormat="1" ht="24.95" customHeight="1">
      <c r="B7" s="270"/>
      <c r="C7" s="270"/>
      <c r="D7" s="270"/>
      <c r="E7" s="270"/>
      <c r="F7" s="270"/>
      <c r="G7" s="270"/>
      <c r="H7" s="270"/>
      <c r="I7" s="270"/>
      <c r="J7" s="270"/>
      <c r="K7" s="270"/>
      <c r="M7" s="259"/>
      <c r="O7" s="272"/>
      <c r="P7" s="272"/>
      <c r="Q7" s="272"/>
      <c r="R7" s="272"/>
      <c r="S7" s="272"/>
      <c r="T7" s="272"/>
      <c r="U7" s="272"/>
      <c r="V7" s="272"/>
      <c r="W7" s="272"/>
      <c r="X7" s="272"/>
      <c r="Y7" s="272"/>
      <c r="Z7" s="272"/>
      <c r="AA7" s="272"/>
      <c r="AB7" s="234"/>
      <c r="AC7" s="234"/>
      <c r="AD7" s="234"/>
      <c r="AE7" s="234"/>
      <c r="AF7" s="61"/>
      <c r="AG7" s="138"/>
      <c r="AH7" s="138"/>
      <c r="AI7" s="251"/>
      <c r="AJ7" s="251"/>
      <c r="AK7" s="251"/>
      <c r="AL7" s="251"/>
      <c r="AM7" s="251"/>
      <c r="AN7" s="251"/>
      <c r="AO7" s="251"/>
      <c r="AP7" s="251"/>
      <c r="AQ7" s="251"/>
      <c r="AR7" s="251"/>
      <c r="AS7" s="251"/>
      <c r="AT7" s="251"/>
      <c r="AU7" s="251"/>
      <c r="AV7" s="251"/>
      <c r="AW7" s="251"/>
      <c r="AX7" s="251"/>
      <c r="AY7" s="251"/>
      <c r="AZ7" s="251"/>
      <c r="BA7" s="251"/>
      <c r="BB7" s="251"/>
      <c r="BC7" s="251"/>
      <c r="BD7" s="251"/>
      <c r="BE7" s="251"/>
      <c r="BF7" s="251"/>
      <c r="BG7" s="251"/>
      <c r="BH7" s="251"/>
      <c r="BI7" s="251"/>
      <c r="BJ7" s="251"/>
      <c r="BK7" s="251"/>
      <c r="BL7" s="251"/>
      <c r="BM7" s="251"/>
      <c r="BN7" s="251"/>
      <c r="BO7" s="251"/>
      <c r="BP7" s="251"/>
      <c r="BQ7" s="251"/>
    </row>
    <row r="8" spans="1:69" s="1" customFormat="1" ht="24.95" customHeight="1" thickBot="1">
      <c r="B8" s="270"/>
      <c r="C8" s="270"/>
      <c r="D8" s="270"/>
      <c r="E8" s="270"/>
      <c r="F8" s="270"/>
      <c r="G8" s="270"/>
      <c r="H8" s="270"/>
      <c r="I8" s="270"/>
      <c r="J8" s="270"/>
      <c r="K8" s="270"/>
      <c r="M8" s="259"/>
      <c r="O8" s="272"/>
      <c r="P8" s="272"/>
      <c r="Q8" s="272"/>
      <c r="R8" s="272"/>
      <c r="S8" s="272"/>
      <c r="T8" s="272"/>
      <c r="U8" s="272"/>
      <c r="V8" s="272"/>
      <c r="W8" s="272"/>
      <c r="X8" s="272"/>
      <c r="Y8" s="272"/>
      <c r="Z8" s="272"/>
      <c r="AA8" s="272"/>
      <c r="AB8" s="234"/>
      <c r="AC8" s="234"/>
      <c r="AD8" s="234"/>
      <c r="AE8" s="234"/>
      <c r="AF8" s="61"/>
      <c r="AG8" s="138"/>
      <c r="AH8" s="138"/>
      <c r="AI8" s="252"/>
      <c r="AJ8" s="252"/>
      <c r="AK8" s="252"/>
      <c r="AL8" s="252"/>
      <c r="AM8" s="252"/>
      <c r="AN8" s="252"/>
      <c r="AO8" s="252"/>
      <c r="AP8" s="252"/>
      <c r="AQ8" s="252"/>
      <c r="AR8" s="252"/>
      <c r="AS8" s="252"/>
      <c r="AT8" s="252"/>
      <c r="AU8" s="252"/>
      <c r="AV8" s="252"/>
      <c r="AW8" s="252"/>
      <c r="AX8" s="252"/>
      <c r="AY8" s="252"/>
      <c r="AZ8" s="252"/>
      <c r="BA8" s="252"/>
      <c r="BB8" s="252"/>
      <c r="BC8" s="252"/>
      <c r="BD8" s="252"/>
      <c r="BE8" s="252"/>
      <c r="BF8" s="252"/>
      <c r="BG8" s="252"/>
      <c r="BH8" s="252"/>
      <c r="BI8" s="252"/>
      <c r="BJ8" s="252"/>
      <c r="BK8" s="252"/>
      <c r="BL8" s="252"/>
      <c r="BM8" s="252"/>
      <c r="BN8" s="252"/>
      <c r="BO8" s="252"/>
      <c r="BP8" s="252"/>
      <c r="BQ8" s="252"/>
    </row>
    <row r="9" spans="1:69" s="1" customFormat="1" ht="12.95" customHeight="1" thickTop="1">
      <c r="B9" s="270"/>
      <c r="C9" s="270"/>
      <c r="D9" s="270"/>
      <c r="E9" s="270"/>
      <c r="F9" s="270"/>
      <c r="G9" s="270"/>
      <c r="H9" s="270"/>
      <c r="I9" s="270"/>
      <c r="J9" s="270"/>
      <c r="K9" s="270"/>
      <c r="M9" s="259"/>
      <c r="O9" s="173"/>
      <c r="P9" s="174"/>
      <c r="Q9" s="174"/>
      <c r="R9" s="175"/>
      <c r="S9" s="173"/>
      <c r="T9" s="176"/>
      <c r="U9" s="176"/>
      <c r="V9" s="175"/>
      <c r="W9" s="173"/>
      <c r="X9" s="177"/>
      <c r="Y9" s="177"/>
      <c r="Z9" s="177"/>
      <c r="AA9" s="177"/>
      <c r="AB9" s="173"/>
      <c r="AC9" s="173"/>
      <c r="AD9" s="173"/>
      <c r="AE9" s="173"/>
      <c r="AF9" s="61"/>
      <c r="AG9" s="138"/>
      <c r="AH9" s="138"/>
      <c r="AI9" s="139"/>
      <c r="AJ9" s="139"/>
      <c r="AK9" s="139"/>
      <c r="AL9" s="139"/>
      <c r="AM9" s="139"/>
      <c r="AN9" s="139"/>
      <c r="AO9" s="139"/>
      <c r="AP9" s="139"/>
      <c r="AQ9" s="139"/>
      <c r="AR9" s="139"/>
      <c r="AS9" s="139"/>
      <c r="AT9" s="139"/>
      <c r="AU9" s="139"/>
      <c r="AV9" s="139"/>
      <c r="AW9" s="139"/>
      <c r="AX9" s="139"/>
      <c r="AY9" s="139"/>
      <c r="AZ9" s="139"/>
      <c r="BA9" s="139"/>
      <c r="BB9" s="139"/>
      <c r="BC9" s="139"/>
      <c r="BD9" s="139"/>
      <c r="BE9" s="139"/>
      <c r="BF9" s="139"/>
      <c r="BG9" s="139"/>
      <c r="BH9" s="139"/>
      <c r="BI9" s="139"/>
      <c r="BJ9" s="139"/>
      <c r="BK9" s="139"/>
      <c r="BL9" s="139"/>
      <c r="BM9" s="139"/>
      <c r="BN9" s="139"/>
      <c r="BO9" s="139"/>
      <c r="BP9" s="139"/>
      <c r="BQ9" s="139"/>
    </row>
    <row r="10" spans="1:69" s="1" customFormat="1" ht="20.100000000000001" customHeight="1">
      <c r="B10" s="270"/>
      <c r="C10" s="270"/>
      <c r="D10" s="270"/>
      <c r="E10" s="270"/>
      <c r="F10" s="270"/>
      <c r="G10" s="270"/>
      <c r="H10" s="270"/>
      <c r="I10" s="270"/>
      <c r="J10" s="270"/>
      <c r="K10" s="270"/>
      <c r="M10" s="259"/>
      <c r="O10" s="281" t="s">
        <v>144</v>
      </c>
      <c r="P10" s="281"/>
      <c r="Q10" s="281"/>
      <c r="R10" s="102"/>
      <c r="S10" s="246" t="str">
        <f>IF(AB6=B54,"average financial benefit for each modelled household type for all generation-demand patterns","average financial benefit for each modelled household type for all generation-demand patterns")</f>
        <v>average financial benefit for each modelled household type for all generation-demand patterns</v>
      </c>
      <c r="T10" s="246"/>
      <c r="U10" s="246"/>
      <c r="V10" s="102"/>
      <c r="W10" s="246" t="s">
        <v>151</v>
      </c>
      <c r="X10" s="246"/>
      <c r="Y10" s="246"/>
      <c r="Z10" s="246"/>
      <c r="AA10" s="246"/>
      <c r="AB10" s="103"/>
      <c r="AC10" s="246" t="s">
        <v>182</v>
      </c>
      <c r="AD10" s="246"/>
      <c r="AE10" s="246"/>
      <c r="AF10" s="61"/>
      <c r="AG10" s="140"/>
      <c r="AH10" s="139"/>
      <c r="AI10" s="258" t="s">
        <v>146</v>
      </c>
      <c r="AJ10" s="258"/>
      <c r="AK10" s="258"/>
      <c r="AL10" s="258"/>
      <c r="AM10" s="258"/>
      <c r="AN10" s="258"/>
      <c r="AO10" s="258"/>
      <c r="AP10" s="141"/>
      <c r="AQ10" s="250" t="s">
        <v>189</v>
      </c>
      <c r="AR10" s="250"/>
      <c r="AS10" s="250"/>
      <c r="AT10" s="250"/>
      <c r="AU10" s="250"/>
      <c r="AV10" s="250"/>
      <c r="AW10" s="250"/>
      <c r="AX10" s="250"/>
      <c r="AY10" s="250"/>
      <c r="AZ10" s="250"/>
      <c r="BA10" s="250"/>
      <c r="BB10" s="139"/>
      <c r="BC10" s="245" t="s">
        <v>205</v>
      </c>
      <c r="BD10" s="245"/>
      <c r="BE10" s="245"/>
      <c r="BF10" s="245"/>
      <c r="BG10" s="245"/>
      <c r="BH10" s="245"/>
      <c r="BI10" s="245"/>
      <c r="BJ10" s="245"/>
      <c r="BK10" s="245"/>
      <c r="BL10" s="245"/>
      <c r="BM10" s="245"/>
      <c r="BN10" s="245"/>
      <c r="BO10" s="245"/>
      <c r="BP10" s="245"/>
      <c r="BQ10" s="245"/>
    </row>
    <row r="11" spans="1:69" s="1" customFormat="1" ht="20.100000000000001" customHeight="1">
      <c r="B11" s="270"/>
      <c r="C11" s="270"/>
      <c r="D11" s="270"/>
      <c r="E11" s="270"/>
      <c r="F11" s="270"/>
      <c r="G11" s="270"/>
      <c r="H11" s="270"/>
      <c r="I11" s="270"/>
      <c r="J11" s="270"/>
      <c r="K11" s="270"/>
      <c r="M11" s="259"/>
      <c r="O11" s="281"/>
      <c r="P11" s="281"/>
      <c r="Q11" s="281"/>
      <c r="R11" s="102"/>
      <c r="S11" s="246"/>
      <c r="T11" s="246"/>
      <c r="U11" s="246"/>
      <c r="V11" s="102"/>
      <c r="W11" s="246"/>
      <c r="X11" s="246"/>
      <c r="Y11" s="246"/>
      <c r="Z11" s="246"/>
      <c r="AA11" s="246"/>
      <c r="AB11" s="103"/>
      <c r="AC11" s="246"/>
      <c r="AD11" s="246"/>
      <c r="AE11" s="246"/>
      <c r="AF11" s="59"/>
      <c r="AG11" s="140"/>
      <c r="AH11" s="139"/>
      <c r="AI11" s="258"/>
      <c r="AJ11" s="258"/>
      <c r="AK11" s="258"/>
      <c r="AL11" s="258"/>
      <c r="AM11" s="258"/>
      <c r="AN11" s="258"/>
      <c r="AO11" s="258"/>
      <c r="AP11" s="141"/>
      <c r="AQ11" s="250"/>
      <c r="AR11" s="250"/>
      <c r="AS11" s="250"/>
      <c r="AT11" s="250"/>
      <c r="AU11" s="250"/>
      <c r="AV11" s="250"/>
      <c r="AW11" s="250"/>
      <c r="AX11" s="250"/>
      <c r="AY11" s="250"/>
      <c r="AZ11" s="250"/>
      <c r="BA11" s="250"/>
      <c r="BB11" s="139"/>
      <c r="BC11" s="245"/>
      <c r="BD11" s="245"/>
      <c r="BE11" s="245"/>
      <c r="BF11" s="245"/>
      <c r="BG11" s="245"/>
      <c r="BH11" s="245"/>
      <c r="BI11" s="245"/>
      <c r="BJ11" s="245"/>
      <c r="BK11" s="245"/>
      <c r="BL11" s="245"/>
      <c r="BM11" s="245"/>
      <c r="BN11" s="245"/>
      <c r="BO11" s="245"/>
      <c r="BP11" s="245"/>
      <c r="BQ11" s="245"/>
    </row>
    <row r="12" spans="1:69" s="1" customFormat="1" ht="20.100000000000001" customHeight="1">
      <c r="B12" s="270"/>
      <c r="C12" s="270"/>
      <c r="D12" s="270"/>
      <c r="E12" s="270"/>
      <c r="F12" s="270"/>
      <c r="G12" s="270"/>
      <c r="H12" s="270"/>
      <c r="I12" s="270"/>
      <c r="J12" s="270"/>
      <c r="K12" s="270"/>
      <c r="M12" s="259"/>
      <c r="O12" s="281"/>
      <c r="P12" s="281"/>
      <c r="Q12" s="281"/>
      <c r="R12" s="102"/>
      <c r="S12" s="246"/>
      <c r="T12" s="246"/>
      <c r="U12" s="246"/>
      <c r="V12" s="102"/>
      <c r="W12" s="246"/>
      <c r="X12" s="246"/>
      <c r="Y12" s="246"/>
      <c r="Z12" s="246"/>
      <c r="AA12" s="246"/>
      <c r="AB12" s="103"/>
      <c r="AC12" s="246"/>
      <c r="AD12" s="246"/>
      <c r="AE12" s="246"/>
      <c r="AF12" s="59"/>
      <c r="AG12" s="140"/>
      <c r="AH12" s="139"/>
      <c r="AI12" s="258"/>
      <c r="AJ12" s="258"/>
      <c r="AK12" s="258"/>
      <c r="AL12" s="258"/>
      <c r="AM12" s="258"/>
      <c r="AN12" s="258"/>
      <c r="AO12" s="258"/>
      <c r="AP12" s="141"/>
      <c r="AQ12" s="250"/>
      <c r="AR12" s="250"/>
      <c r="AS12" s="250"/>
      <c r="AT12" s="250"/>
      <c r="AU12" s="250"/>
      <c r="AV12" s="250"/>
      <c r="AW12" s="250"/>
      <c r="AX12" s="250"/>
      <c r="AY12" s="250"/>
      <c r="AZ12" s="250"/>
      <c r="BA12" s="250"/>
      <c r="BB12" s="139"/>
      <c r="BC12" s="245"/>
      <c r="BD12" s="245"/>
      <c r="BE12" s="245"/>
      <c r="BF12" s="245"/>
      <c r="BG12" s="245"/>
      <c r="BH12" s="245"/>
      <c r="BI12" s="245"/>
      <c r="BJ12" s="245"/>
      <c r="BK12" s="245"/>
      <c r="BL12" s="245"/>
      <c r="BM12" s="245"/>
      <c r="BN12" s="245"/>
      <c r="BO12" s="245"/>
      <c r="BP12" s="245"/>
      <c r="BQ12" s="245"/>
    </row>
    <row r="13" spans="1:69" s="1" customFormat="1" ht="20.100000000000001" customHeight="1">
      <c r="B13" s="270"/>
      <c r="C13" s="270"/>
      <c r="D13" s="270"/>
      <c r="E13" s="270"/>
      <c r="F13" s="270"/>
      <c r="G13" s="270"/>
      <c r="H13" s="270"/>
      <c r="I13" s="270"/>
      <c r="J13" s="270"/>
      <c r="K13" s="270"/>
      <c r="M13" s="259"/>
      <c r="O13" s="281"/>
      <c r="P13" s="281"/>
      <c r="Q13" s="281"/>
      <c r="R13" s="102"/>
      <c r="S13" s="246"/>
      <c r="T13" s="246"/>
      <c r="U13" s="246"/>
      <c r="V13" s="102"/>
      <c r="W13" s="246"/>
      <c r="X13" s="246"/>
      <c r="Y13" s="246"/>
      <c r="Z13" s="246"/>
      <c r="AA13" s="246"/>
      <c r="AB13" s="103"/>
      <c r="AC13" s="246"/>
      <c r="AD13" s="246"/>
      <c r="AE13" s="246"/>
      <c r="AF13" s="59"/>
      <c r="AG13" s="140"/>
      <c r="AH13" s="139"/>
      <c r="AI13" s="258"/>
      <c r="AJ13" s="258"/>
      <c r="AK13" s="258"/>
      <c r="AL13" s="258"/>
      <c r="AM13" s="258"/>
      <c r="AN13" s="258"/>
      <c r="AO13" s="258"/>
      <c r="AP13" s="141"/>
      <c r="AQ13" s="250"/>
      <c r="AR13" s="250"/>
      <c r="AS13" s="250"/>
      <c r="AT13" s="250"/>
      <c r="AU13" s="250"/>
      <c r="AV13" s="250"/>
      <c r="AW13" s="250"/>
      <c r="AX13" s="250"/>
      <c r="AY13" s="250"/>
      <c r="AZ13" s="250"/>
      <c r="BA13" s="250"/>
      <c r="BB13" s="139"/>
      <c r="BC13" s="245"/>
      <c r="BD13" s="245"/>
      <c r="BE13" s="245"/>
      <c r="BF13" s="245"/>
      <c r="BG13" s="245"/>
      <c r="BH13" s="245"/>
      <c r="BI13" s="245"/>
      <c r="BJ13" s="245"/>
      <c r="BK13" s="245"/>
      <c r="BL13" s="245"/>
      <c r="BM13" s="245"/>
      <c r="BN13" s="245"/>
      <c r="BO13" s="245"/>
      <c r="BP13" s="245"/>
      <c r="BQ13" s="245"/>
    </row>
    <row r="14" spans="1:69" s="1" customFormat="1" ht="11.1" customHeight="1" thickBot="1">
      <c r="B14" s="271"/>
      <c r="C14" s="271"/>
      <c r="D14" s="271"/>
      <c r="E14" s="271"/>
      <c r="F14" s="271"/>
      <c r="G14" s="271"/>
      <c r="H14" s="271"/>
      <c r="I14" s="271"/>
      <c r="J14" s="271"/>
      <c r="K14" s="271"/>
      <c r="M14" s="259"/>
      <c r="O14" s="281"/>
      <c r="P14" s="281"/>
      <c r="Q14" s="281"/>
      <c r="R14" s="102"/>
      <c r="S14" s="104"/>
      <c r="T14" s="104"/>
      <c r="U14" s="104"/>
      <c r="V14" s="102"/>
      <c r="W14" s="104"/>
      <c r="X14" s="104"/>
      <c r="Y14" s="104"/>
      <c r="Z14" s="104"/>
      <c r="AA14" s="104"/>
      <c r="AB14" s="103"/>
      <c r="AC14" s="104"/>
      <c r="AD14" s="104"/>
      <c r="AE14" s="104"/>
      <c r="AF14" s="59"/>
      <c r="AG14" s="140"/>
      <c r="AH14" s="139"/>
      <c r="AI14" s="178"/>
      <c r="AJ14" s="178"/>
      <c r="AK14" s="178"/>
      <c r="AL14" s="178"/>
      <c r="AM14" s="178"/>
      <c r="AN14" s="178"/>
      <c r="AO14" s="178"/>
      <c r="AP14" s="141"/>
      <c r="AQ14" s="178"/>
      <c r="AR14" s="178"/>
      <c r="AS14" s="178"/>
      <c r="AT14" s="178"/>
      <c r="AU14" s="178"/>
      <c r="AV14" s="178"/>
      <c r="AW14" s="178"/>
      <c r="AX14" s="178"/>
      <c r="AY14" s="178"/>
      <c r="AZ14" s="178"/>
      <c r="BA14" s="178"/>
      <c r="BB14" s="139"/>
      <c r="BC14" s="178"/>
      <c r="BD14" s="178"/>
      <c r="BE14" s="178"/>
      <c r="BF14" s="178"/>
      <c r="BG14" s="178"/>
      <c r="BH14" s="178"/>
      <c r="BI14" s="178"/>
      <c r="BJ14" s="178"/>
      <c r="BK14" s="178"/>
      <c r="BL14" s="178"/>
      <c r="BM14" s="178"/>
      <c r="BN14" s="178"/>
      <c r="BO14" s="178"/>
      <c r="BP14" s="178"/>
      <c r="BQ14" s="178"/>
    </row>
    <row r="15" spans="1:69" s="1" customFormat="1" ht="11.1" customHeight="1" thickTop="1">
      <c r="B15" s="65"/>
      <c r="C15" s="65"/>
      <c r="D15" s="65"/>
      <c r="E15" s="65"/>
      <c r="F15" s="65"/>
      <c r="G15" s="65"/>
      <c r="H15" s="65"/>
      <c r="I15" s="65"/>
      <c r="J15" s="65"/>
      <c r="K15" s="65"/>
      <c r="M15" s="259"/>
      <c r="O15" s="281"/>
      <c r="P15" s="281"/>
      <c r="Q15" s="281"/>
      <c r="R15" s="102"/>
      <c r="S15" s="105"/>
      <c r="T15" s="105"/>
      <c r="U15" s="105"/>
      <c r="V15" s="102"/>
      <c r="W15" s="105"/>
      <c r="X15" s="105"/>
      <c r="Y15" s="105"/>
      <c r="Z15" s="105"/>
      <c r="AA15" s="105"/>
      <c r="AB15" s="103"/>
      <c r="AC15" s="134"/>
      <c r="AD15" s="134"/>
      <c r="AE15" s="134"/>
      <c r="AF15" s="59"/>
      <c r="AG15" s="140"/>
      <c r="AH15" s="139"/>
      <c r="AI15" s="179"/>
      <c r="AJ15" s="179"/>
      <c r="AK15" s="179"/>
      <c r="AL15" s="179"/>
      <c r="AM15" s="179"/>
      <c r="AN15" s="179"/>
      <c r="AO15" s="179"/>
      <c r="AP15" s="141"/>
      <c r="AQ15" s="179"/>
      <c r="AR15" s="179"/>
      <c r="AS15" s="179"/>
      <c r="AT15" s="179"/>
      <c r="AU15" s="179"/>
      <c r="AV15" s="179"/>
      <c r="AW15" s="179"/>
      <c r="AX15" s="179"/>
      <c r="AY15" s="179"/>
      <c r="AZ15" s="179"/>
      <c r="BA15" s="179"/>
      <c r="BB15" s="139"/>
      <c r="BC15" s="179"/>
      <c r="BD15" s="179"/>
      <c r="BE15" s="179"/>
      <c r="BF15" s="179"/>
      <c r="BG15" s="179"/>
      <c r="BH15" s="179"/>
      <c r="BI15" s="179"/>
      <c r="BJ15" s="179"/>
      <c r="BK15" s="179"/>
      <c r="BL15" s="179"/>
      <c r="BM15" s="179"/>
      <c r="BN15" s="179"/>
      <c r="BO15" s="179"/>
      <c r="BP15" s="179"/>
      <c r="BQ15" s="179"/>
    </row>
    <row r="16" spans="1:69" s="1" customFormat="1" ht="39.950000000000003" customHeight="1">
      <c r="B16" s="52"/>
      <c r="C16" s="52"/>
      <c r="D16" s="52"/>
      <c r="E16" s="52"/>
      <c r="F16" s="52"/>
      <c r="G16" s="52"/>
      <c r="H16" s="52"/>
      <c r="I16" s="52"/>
      <c r="J16" s="52"/>
      <c r="K16" s="52"/>
      <c r="M16" s="259"/>
      <c r="O16" s="281"/>
      <c r="P16" s="281"/>
      <c r="Q16" s="281"/>
      <c r="R16" s="100"/>
      <c r="S16" s="248" t="s">
        <v>237</v>
      </c>
      <c r="T16" s="106"/>
      <c r="U16" s="249" t="str">
        <f>IF(O6=B58,"net financial saving ($ / yr)","net financial saving ($ / mth)")</f>
        <v>net financial saving ($ / yr)</v>
      </c>
      <c r="V16" s="100"/>
      <c r="W16" s="248" t="str">
        <f>IF(O6=B58,"net financial saving ($ / yr)","net financial saving ($ / mth)")</f>
        <v>net financial saving ($ / yr)</v>
      </c>
      <c r="X16" s="248"/>
      <c r="Y16" s="248"/>
      <c r="Z16" s="248"/>
      <c r="AA16" s="248"/>
      <c r="AB16" s="100"/>
      <c r="AC16" s="247" t="s">
        <v>239</v>
      </c>
      <c r="AD16" s="107"/>
      <c r="AE16" s="247" t="s">
        <v>183</v>
      </c>
      <c r="AF16" s="60"/>
      <c r="AG16" s="139"/>
      <c r="AH16" s="139"/>
      <c r="AI16" s="257" t="s">
        <v>148</v>
      </c>
      <c r="AJ16" s="257"/>
      <c r="AK16" s="257"/>
      <c r="AL16" s="261" t="s">
        <v>140</v>
      </c>
      <c r="AM16" s="264" t="s">
        <v>149</v>
      </c>
      <c r="AN16" s="264"/>
      <c r="AO16" s="264"/>
      <c r="AP16" s="139"/>
      <c r="AQ16" s="290" t="s">
        <v>174</v>
      </c>
      <c r="AR16" s="290"/>
      <c r="AS16" s="290"/>
      <c r="AT16" s="142"/>
      <c r="AU16" s="290" t="s">
        <v>173</v>
      </c>
      <c r="AV16" s="290"/>
      <c r="AW16" s="290"/>
      <c r="AX16" s="142"/>
      <c r="AY16" s="290" t="s">
        <v>178</v>
      </c>
      <c r="AZ16" s="290"/>
      <c r="BA16" s="290"/>
      <c r="BB16" s="143"/>
      <c r="BC16" s="292" t="s">
        <v>179</v>
      </c>
      <c r="BD16" s="292"/>
      <c r="BE16" s="292"/>
      <c r="BF16" s="143"/>
      <c r="BG16" s="291" t="s">
        <v>175</v>
      </c>
      <c r="BH16" s="291"/>
      <c r="BI16" s="291"/>
      <c r="BJ16" s="143"/>
      <c r="BK16" s="291" t="s">
        <v>176</v>
      </c>
      <c r="BL16" s="291"/>
      <c r="BM16" s="291"/>
      <c r="BN16" s="143"/>
      <c r="BO16" s="291" t="s">
        <v>177</v>
      </c>
      <c r="BP16" s="291"/>
      <c r="BQ16" s="291"/>
    </row>
    <row r="17" spans="2:69" s="1" customFormat="1" ht="18" customHeight="1">
      <c r="B17" s="253" t="s">
        <v>154</v>
      </c>
      <c r="C17" s="253"/>
      <c r="D17" s="253"/>
      <c r="E17" s="253"/>
      <c r="F17" s="254" t="s">
        <v>203</v>
      </c>
      <c r="G17" s="254"/>
      <c r="H17" s="254"/>
      <c r="I17" s="254"/>
      <c r="J17" s="254"/>
      <c r="K17" s="254"/>
      <c r="M17" s="259"/>
      <c r="O17" s="281"/>
      <c r="P17" s="281"/>
      <c r="Q17" s="281"/>
      <c r="R17" s="100"/>
      <c r="S17" s="248"/>
      <c r="T17" s="108"/>
      <c r="U17" s="249"/>
      <c r="V17" s="109"/>
      <c r="W17" s="248"/>
      <c r="X17" s="248"/>
      <c r="Y17" s="248"/>
      <c r="Z17" s="248"/>
      <c r="AA17" s="248"/>
      <c r="AB17" s="110"/>
      <c r="AC17" s="247"/>
      <c r="AD17" s="107"/>
      <c r="AE17" s="247"/>
      <c r="AF17" s="60"/>
      <c r="AG17" s="144"/>
      <c r="AH17" s="145"/>
      <c r="AI17" s="265" t="str">
        <f>IF($O$6=$B$58,"($ per year)","($ per month)")</f>
        <v>($ per year)</v>
      </c>
      <c r="AJ17" s="265"/>
      <c r="AK17" s="265"/>
      <c r="AL17" s="261"/>
      <c r="AM17" s="265" t="str">
        <f>IF($O$6=$B$58,"($ per year)","($ per month)")</f>
        <v>($ per year)</v>
      </c>
      <c r="AN17" s="265"/>
      <c r="AO17" s="265"/>
      <c r="AP17" s="146"/>
      <c r="AQ17" s="241" t="str">
        <f>IF($O$6=$B$58,"($ per year)","($ per month)")</f>
        <v>($ per year)</v>
      </c>
      <c r="AR17" s="241"/>
      <c r="AS17" s="241"/>
      <c r="AT17" s="147"/>
      <c r="AU17" s="241" t="str">
        <f>IF($O$6=$B$58,"($ per year)","($ per month)")</f>
        <v>($ per year)</v>
      </c>
      <c r="AV17" s="241"/>
      <c r="AW17" s="241"/>
      <c r="AX17" s="147"/>
      <c r="AY17" s="241" t="str">
        <f>IF($O$6=$B$58,"($ per year)","($ per month)")</f>
        <v>($ per year)</v>
      </c>
      <c r="AZ17" s="241"/>
      <c r="BA17" s="241"/>
      <c r="BB17" s="148"/>
      <c r="BC17" s="241" t="str">
        <f>IF($O$6=$B$58,"(MWh per year)","(MWh per month)")</f>
        <v>(MWh per year)</v>
      </c>
      <c r="BD17" s="241"/>
      <c r="BE17" s="241"/>
      <c r="BF17" s="149"/>
      <c r="BG17" s="241" t="str">
        <f>IF($O$6=$B$58,"(MWh per year)","(MWh per month)")</f>
        <v>(MWh per year)</v>
      </c>
      <c r="BH17" s="241"/>
      <c r="BI17" s="241"/>
      <c r="BJ17" s="150"/>
      <c r="BK17" s="241" t="str">
        <f>IF($O$6=$B$58,"(MWh per year)","(MWh per month)")</f>
        <v>(MWh per year)</v>
      </c>
      <c r="BL17" s="241"/>
      <c r="BM17" s="241"/>
      <c r="BN17" s="150"/>
      <c r="BO17" s="241" t="str">
        <f>IF($O$6=$B$58,"(MWh per year)","(MWh per month)")</f>
        <v>(MWh per year)</v>
      </c>
      <c r="BP17" s="241"/>
      <c r="BQ17" s="241"/>
    </row>
    <row r="18" spans="2:69" s="1" customFormat="1" ht="9.9499999999999993" customHeight="1">
      <c r="B18" s="253"/>
      <c r="C18" s="253"/>
      <c r="D18" s="253"/>
      <c r="E18" s="253"/>
      <c r="F18" s="254"/>
      <c r="G18" s="254"/>
      <c r="H18" s="254"/>
      <c r="I18" s="254"/>
      <c r="J18" s="254"/>
      <c r="K18" s="254"/>
      <c r="M18" s="259"/>
      <c r="O18" s="281"/>
      <c r="P18" s="281"/>
      <c r="Q18" s="281"/>
      <c r="R18" s="100"/>
      <c r="S18" s="111"/>
      <c r="T18" s="108"/>
      <c r="U18" s="111"/>
      <c r="V18" s="109"/>
      <c r="W18" s="111"/>
      <c r="X18" s="111"/>
      <c r="Y18" s="111"/>
      <c r="Z18" s="111"/>
      <c r="AA18" s="111"/>
      <c r="AB18" s="110"/>
      <c r="AC18" s="111"/>
      <c r="AD18" s="112"/>
      <c r="AE18" s="111"/>
      <c r="AF18" s="60"/>
      <c r="AG18" s="144"/>
      <c r="AH18" s="145"/>
      <c r="AI18" s="180"/>
      <c r="AJ18" s="180"/>
      <c r="AK18" s="180"/>
      <c r="AL18" s="151"/>
      <c r="AM18" s="180"/>
      <c r="AN18" s="180"/>
      <c r="AO18" s="180"/>
      <c r="AP18" s="146"/>
      <c r="AQ18" s="180"/>
      <c r="AR18" s="180"/>
      <c r="AS18" s="180"/>
      <c r="AT18" s="152"/>
      <c r="AU18" s="180"/>
      <c r="AV18" s="180"/>
      <c r="AW18" s="180"/>
      <c r="AX18" s="152"/>
      <c r="AY18" s="180"/>
      <c r="AZ18" s="180"/>
      <c r="BA18" s="180"/>
      <c r="BB18" s="153"/>
      <c r="BC18" s="180"/>
      <c r="BD18" s="180"/>
      <c r="BE18" s="180"/>
      <c r="BF18" s="149"/>
      <c r="BG18" s="180"/>
      <c r="BH18" s="180"/>
      <c r="BI18" s="180"/>
      <c r="BJ18" s="154"/>
      <c r="BK18" s="180"/>
      <c r="BL18" s="180"/>
      <c r="BM18" s="180"/>
      <c r="BN18" s="154"/>
      <c r="BO18" s="180"/>
      <c r="BP18" s="180"/>
      <c r="BQ18" s="180"/>
    </row>
    <row r="19" spans="2:69" s="1" customFormat="1" ht="9.9499999999999993" customHeight="1">
      <c r="B19" s="253"/>
      <c r="C19" s="253"/>
      <c r="D19" s="253"/>
      <c r="E19" s="253"/>
      <c r="F19" s="254"/>
      <c r="G19" s="254"/>
      <c r="H19" s="254"/>
      <c r="I19" s="254"/>
      <c r="J19" s="254"/>
      <c r="K19" s="254"/>
      <c r="M19" s="259"/>
      <c r="O19" s="281"/>
      <c r="P19" s="281"/>
      <c r="Q19" s="281"/>
      <c r="R19" s="100"/>
      <c r="S19" s="103"/>
      <c r="T19" s="108"/>
      <c r="U19" s="103"/>
      <c r="V19" s="109"/>
      <c r="W19" s="103"/>
      <c r="X19" s="103"/>
      <c r="Y19" s="103"/>
      <c r="Z19" s="103"/>
      <c r="AA19" s="103"/>
      <c r="AB19" s="110"/>
      <c r="AC19" s="103"/>
      <c r="AD19" s="113"/>
      <c r="AE19" s="103"/>
      <c r="AF19" s="46"/>
      <c r="AG19" s="144"/>
      <c r="AH19" s="145"/>
      <c r="AI19" s="181"/>
      <c r="AJ19" s="181"/>
      <c r="AK19" s="181"/>
      <c r="AL19" s="151"/>
      <c r="AM19" s="181"/>
      <c r="AN19" s="181"/>
      <c r="AO19" s="181"/>
      <c r="AP19" s="155"/>
      <c r="AQ19" s="181"/>
      <c r="AR19" s="181"/>
      <c r="AS19" s="181"/>
      <c r="AT19" s="145"/>
      <c r="AU19" s="181"/>
      <c r="AV19" s="181"/>
      <c r="AW19" s="181"/>
      <c r="AX19" s="145"/>
      <c r="AY19" s="181"/>
      <c r="AZ19" s="181"/>
      <c r="BA19" s="181"/>
      <c r="BB19" s="156"/>
      <c r="BC19" s="181"/>
      <c r="BD19" s="181"/>
      <c r="BE19" s="181"/>
      <c r="BF19" s="149"/>
      <c r="BG19" s="181"/>
      <c r="BH19" s="181"/>
      <c r="BI19" s="181"/>
      <c r="BJ19" s="154"/>
      <c r="BK19" s="181"/>
      <c r="BL19" s="181"/>
      <c r="BM19" s="181"/>
      <c r="BN19" s="154"/>
      <c r="BO19" s="181"/>
      <c r="BP19" s="181"/>
      <c r="BQ19" s="181"/>
    </row>
    <row r="20" spans="2:69" s="1" customFormat="1" ht="11.1" customHeight="1">
      <c r="B20" s="253"/>
      <c r="C20" s="253"/>
      <c r="D20" s="253"/>
      <c r="E20" s="253"/>
      <c r="F20" s="254"/>
      <c r="G20" s="254"/>
      <c r="H20" s="254"/>
      <c r="I20" s="254"/>
      <c r="J20" s="254"/>
      <c r="K20" s="254"/>
      <c r="M20" s="259"/>
      <c r="O20" s="182"/>
      <c r="P20" s="182"/>
      <c r="Q20" s="182"/>
      <c r="V20" s="50"/>
      <c r="W20" s="109"/>
      <c r="X20" s="114"/>
      <c r="Y20" s="298" t="s">
        <v>145</v>
      </c>
      <c r="Z20" s="298"/>
      <c r="AA20" s="298"/>
      <c r="AB20" s="115"/>
      <c r="AC20" s="255" t="str">
        <f>IF(O6=B58,"MWh per yr","MWh per mth)")</f>
        <v>MWh per yr</v>
      </c>
      <c r="AD20" s="116"/>
      <c r="AE20" s="256" t="s">
        <v>193</v>
      </c>
      <c r="AF20" s="48"/>
      <c r="AG20" s="144"/>
      <c r="AH20" s="156"/>
      <c r="AI20" s="240" t="s">
        <v>145</v>
      </c>
      <c r="AJ20" s="240"/>
      <c r="AK20" s="240"/>
      <c r="AL20" s="157"/>
      <c r="AM20" s="293" t="s">
        <v>150</v>
      </c>
      <c r="AN20" s="293"/>
      <c r="AO20" s="293"/>
      <c r="AP20" s="158"/>
      <c r="AQ20" s="240" t="s">
        <v>145</v>
      </c>
      <c r="AR20" s="240"/>
      <c r="AS20" s="240"/>
      <c r="AT20" s="209"/>
      <c r="AU20" s="240" t="s">
        <v>145</v>
      </c>
      <c r="AV20" s="240"/>
      <c r="AW20" s="240"/>
      <c r="AX20" s="209"/>
      <c r="AY20" s="240" t="s">
        <v>145</v>
      </c>
      <c r="AZ20" s="240"/>
      <c r="BA20" s="240"/>
      <c r="BB20" s="206"/>
      <c r="BC20" s="240" t="s">
        <v>145</v>
      </c>
      <c r="BD20" s="240"/>
      <c r="BE20" s="240"/>
      <c r="BF20" s="210"/>
      <c r="BG20" s="240" t="s">
        <v>145</v>
      </c>
      <c r="BH20" s="240"/>
      <c r="BI20" s="240"/>
      <c r="BJ20" s="205"/>
      <c r="BK20" s="240" t="s">
        <v>145</v>
      </c>
      <c r="BL20" s="240"/>
      <c r="BM20" s="240"/>
      <c r="BN20" s="205"/>
      <c r="BO20" s="240" t="s">
        <v>145</v>
      </c>
      <c r="BP20" s="240"/>
      <c r="BQ20" s="240"/>
    </row>
    <row r="21" spans="2:69" s="1" customFormat="1" ht="20.100000000000001" customHeight="1">
      <c r="B21" s="253"/>
      <c r="C21" s="253"/>
      <c r="D21" s="253"/>
      <c r="E21" s="253"/>
      <c r="F21" s="254"/>
      <c r="G21" s="254"/>
      <c r="H21" s="254"/>
      <c r="I21" s="254"/>
      <c r="J21" s="254"/>
      <c r="K21" s="254"/>
      <c r="M21" s="259"/>
      <c r="O21" s="91"/>
      <c r="P21" s="91"/>
      <c r="Q21" s="91"/>
      <c r="V21" s="17"/>
      <c r="W21" s="117"/>
      <c r="X21" s="117"/>
      <c r="Y21" s="118">
        <v>5</v>
      </c>
      <c r="Z21" s="118">
        <v>10</v>
      </c>
      <c r="AA21" s="118">
        <v>15</v>
      </c>
      <c r="AB21" s="119"/>
      <c r="AC21" s="255"/>
      <c r="AD21" s="120"/>
      <c r="AE21" s="256"/>
      <c r="AF21" s="58"/>
      <c r="AG21" s="156"/>
      <c r="AH21" s="156"/>
      <c r="AI21" s="159">
        <v>5</v>
      </c>
      <c r="AJ21" s="159">
        <v>10</v>
      </c>
      <c r="AK21" s="159">
        <v>15</v>
      </c>
      <c r="AL21" s="160"/>
      <c r="AM21" s="299" t="str">
        <f>"at "&amp;I28*100&amp;"% p.a."</f>
        <v>at 5% p.a.</v>
      </c>
      <c r="AN21" s="299"/>
      <c r="AO21" s="299"/>
      <c r="AP21" s="161"/>
      <c r="AQ21" s="204">
        <v>5</v>
      </c>
      <c r="AR21" s="204">
        <v>10</v>
      </c>
      <c r="AS21" s="204">
        <v>15</v>
      </c>
      <c r="AT21" s="205"/>
      <c r="AU21" s="204">
        <v>5</v>
      </c>
      <c r="AV21" s="204">
        <v>10</v>
      </c>
      <c r="AW21" s="204">
        <v>15</v>
      </c>
      <c r="AX21" s="205"/>
      <c r="AY21" s="204">
        <v>5</v>
      </c>
      <c r="AZ21" s="204">
        <v>10</v>
      </c>
      <c r="BA21" s="204">
        <v>15</v>
      </c>
      <c r="BB21" s="206"/>
      <c r="BC21" s="204">
        <v>5</v>
      </c>
      <c r="BD21" s="204">
        <v>10</v>
      </c>
      <c r="BE21" s="204">
        <v>15</v>
      </c>
      <c r="BF21" s="207"/>
      <c r="BG21" s="204">
        <v>5</v>
      </c>
      <c r="BH21" s="204">
        <v>10</v>
      </c>
      <c r="BI21" s="204">
        <v>15</v>
      </c>
      <c r="BJ21" s="208"/>
      <c r="BK21" s="204">
        <v>5</v>
      </c>
      <c r="BL21" s="204">
        <v>10</v>
      </c>
      <c r="BM21" s="204">
        <v>15</v>
      </c>
      <c r="BN21" s="208"/>
      <c r="BO21" s="204">
        <v>5</v>
      </c>
      <c r="BP21" s="204">
        <v>10</v>
      </c>
      <c r="BQ21" s="204">
        <v>15</v>
      </c>
    </row>
    <row r="22" spans="2:69" s="1" customFormat="1" ht="6" customHeight="1">
      <c r="B22" s="279" t="s">
        <v>155</v>
      </c>
      <c r="C22" s="279"/>
      <c r="D22" s="279"/>
      <c r="E22" s="279"/>
      <c r="F22" s="287">
        <v>1000</v>
      </c>
      <c r="G22" s="287"/>
      <c r="H22" s="287"/>
      <c r="I22" s="287"/>
      <c r="J22" s="287"/>
      <c r="K22" s="287"/>
      <c r="M22" s="259"/>
      <c r="O22" s="91"/>
      <c r="P22" s="91"/>
      <c r="Q22" s="91"/>
      <c r="S22" s="17"/>
      <c r="T22" s="17"/>
      <c r="U22" s="17"/>
      <c r="V22" s="17"/>
      <c r="W22" s="117"/>
      <c r="X22" s="117"/>
      <c r="Y22" s="121"/>
      <c r="Z22" s="121"/>
      <c r="AA22" s="121"/>
      <c r="AB22" s="119"/>
      <c r="AC22" s="117"/>
      <c r="AD22" s="117"/>
      <c r="AE22" s="117"/>
      <c r="AF22" s="17"/>
      <c r="AG22" s="156"/>
      <c r="AH22" s="156"/>
      <c r="AI22" s="159"/>
      <c r="AJ22" s="159"/>
      <c r="AK22" s="159"/>
      <c r="AL22" s="160"/>
      <c r="AM22" s="156"/>
      <c r="AN22" s="156"/>
      <c r="AO22" s="156"/>
      <c r="AP22" s="156"/>
      <c r="AQ22" s="156"/>
      <c r="AR22" s="156"/>
      <c r="AS22" s="156"/>
      <c r="AT22" s="156"/>
      <c r="AU22" s="156"/>
      <c r="AV22" s="156"/>
      <c r="AW22" s="156"/>
      <c r="AX22" s="156"/>
      <c r="AY22" s="156"/>
      <c r="AZ22" s="156"/>
      <c r="BA22" s="156"/>
      <c r="BB22" s="156"/>
      <c r="BC22" s="156"/>
      <c r="BD22" s="156"/>
      <c r="BE22" s="156"/>
      <c r="BF22" s="156"/>
      <c r="BG22" s="156"/>
      <c r="BH22" s="156"/>
      <c r="BI22" s="156"/>
      <c r="BJ22" s="156"/>
      <c r="BK22" s="156"/>
      <c r="BL22" s="156"/>
      <c r="BM22" s="156"/>
      <c r="BN22" s="156"/>
      <c r="BO22" s="156"/>
      <c r="BP22" s="156"/>
      <c r="BQ22" s="156"/>
    </row>
    <row r="23" spans="2:69" s="1" customFormat="1" ht="30" customHeight="1">
      <c r="B23" s="279"/>
      <c r="C23" s="279"/>
      <c r="D23" s="279"/>
      <c r="E23" s="279"/>
      <c r="F23" s="287"/>
      <c r="G23" s="287"/>
      <c r="H23" s="287"/>
      <c r="I23" s="287"/>
      <c r="J23" s="287"/>
      <c r="K23" s="287"/>
      <c r="M23" s="259"/>
      <c r="O23" s="244">
        <f>AVERAGE(U23,U28,U33,U38)</f>
        <v>-0.41657575104917655</v>
      </c>
      <c r="P23" s="244"/>
      <c r="Q23" s="244"/>
      <c r="S23" s="238" t="s">
        <v>47</v>
      </c>
      <c r="T23" s="131"/>
      <c r="U23" s="243">
        <f>AVERAGE(Y23:AA26)</f>
        <v>93.909167094525628</v>
      </c>
      <c r="V23" s="49"/>
      <c r="W23" s="285" t="s">
        <v>147</v>
      </c>
      <c r="X23" s="122">
        <v>2</v>
      </c>
      <c r="Y23" s="123">
        <f t="shared" ref="Y23:AA26" si="0">AI23+$AM23</f>
        <v>-15.6341852535204</v>
      </c>
      <c r="Z23" s="123">
        <f t="shared" si="0"/>
        <v>224.75633581626965</v>
      </c>
      <c r="AA23" s="123">
        <f t="shared" si="0"/>
        <v>411.38535040744938</v>
      </c>
      <c r="AB23" s="239"/>
      <c r="AC23" s="124">
        <f>IFERROR(VLOOKUP(VLOOKUP($S$23,demoMap,2,FALSE)&amp;VLOOKUP($AH23,systemMap,2,FALSE)&amp;VLOOKUP(BC$21,consumptionMap,2,FALSE),rawDataTable,MATCH("gen",rawDataTableRows,FALSE),FALSE)/1000
*IF($AB$6=$B$55,$F$22,1)
*IF($O$6=$B$57,1/12,1),"-")</f>
        <v>2.2030260258064498</v>
      </c>
      <c r="AD23" s="125"/>
      <c r="AE23" s="124">
        <f>(BP23+BH23)*$J$47</f>
        <v>2.7537825322580622</v>
      </c>
      <c r="AF23" s="57"/>
      <c r="AG23" s="260" t="s">
        <v>147</v>
      </c>
      <c r="AH23" s="162">
        <v>2</v>
      </c>
      <c r="AI23" s="163">
        <f>$AU23+AQ23-AY23</f>
        <v>412.1127611214626</v>
      </c>
      <c r="AJ23" s="163">
        <f t="shared" ref="AJ23:AK26" si="1">AV23+AR23-AZ23</f>
        <v>652.50328219125265</v>
      </c>
      <c r="AK23" s="163">
        <f t="shared" si="1"/>
        <v>839.13229678243238</v>
      </c>
      <c r="AL23" s="262" t="s">
        <v>140</v>
      </c>
      <c r="AM23" s="263">
        <f xml:space="preserve"> IF($J$31="Annual",PMT($I$28,$J$30,$H$38),PMT($I$28/4,$J$30*4,$H$38)*4)*
IF($AB$6=$B$55,$F$22,1)
*IF($O$6=$B$57,1/12,1)</f>
        <v>-427.746946374983</v>
      </c>
      <c r="AN23" s="263"/>
      <c r="AO23" s="263"/>
      <c r="AP23" s="144"/>
      <c r="AQ23" s="163">
        <f t="shared" ref="AQ23:AS26" si="2">BG23*$I$34</f>
        <v>75.253429935483595</v>
      </c>
      <c r="AR23" s="163">
        <f t="shared" si="2"/>
        <v>31.476074064516119</v>
      </c>
      <c r="AS23" s="163">
        <f t="shared" si="2"/>
        <v>5.5791780645161335</v>
      </c>
      <c r="AT23" s="164"/>
      <c r="AU23" s="163">
        <f t="shared" ref="AU23:AW26" si="3">BC$23*$I$33</f>
        <v>547.5</v>
      </c>
      <c r="AV23" s="163">
        <f t="shared" si="3"/>
        <v>1095</v>
      </c>
      <c r="AW23" s="163">
        <f t="shared" si="3"/>
        <v>1642.5</v>
      </c>
      <c r="AX23" s="164"/>
      <c r="AY23" s="163">
        <f t="shared" ref="AY23:BA26" si="4">BK23*$J$35</f>
        <v>210.64066881402101</v>
      </c>
      <c r="AZ23" s="163">
        <f t="shared" si="4"/>
        <v>473.97279187326342</v>
      </c>
      <c r="BA23" s="163">
        <f t="shared" si="4"/>
        <v>808.94688128208372</v>
      </c>
      <c r="BB23" s="156"/>
      <c r="BC23" s="165">
        <f t="shared" ref="BC23:BE26" si="5">BC$21*365/1000
*IF($AB$6=$B$55,$F$22,1)
*IF($O$6=$B$57,1/12,1)</f>
        <v>1.825</v>
      </c>
      <c r="BD23" s="165">
        <f t="shared" si="5"/>
        <v>3.65</v>
      </c>
      <c r="BE23" s="165">
        <f t="shared" si="5"/>
        <v>5.4749999999999996</v>
      </c>
      <c r="BF23" s="166"/>
      <c r="BG23" s="167">
        <f t="shared" ref="BG23:BI26" si="6">IFERROR(VLOOKUP(VLOOKUP($S$23,demoMap,2,FALSE)&amp;VLOOKUP($AH23,systemMap,2,FALSE)&amp;VLOOKUP(BG$21,consumptionMap,2,FALSE),rawDataTable,MATCH("export",rawDataTableRows,FALSE),FALSE)/1000
*IF($AB$6=$B$55,$F$22,1)
*IF($O$6=$B$57,1/12,1),"-")</f>
        <v>1.2542238322580599</v>
      </c>
      <c r="BH23" s="167">
        <f t="shared" si="6"/>
        <v>0.52460123440860196</v>
      </c>
      <c r="BI23" s="167">
        <f t="shared" si="6"/>
        <v>9.2986301075268896E-2</v>
      </c>
      <c r="BJ23" s="168"/>
      <c r="BK23" s="167">
        <f t="shared" ref="BK23:BM26" si="7">IFERROR(VLOOKUP(VLOOKUP($S$23,demoMap,2,FALSE)&amp;VLOOKUP($AH23,systemMap,2,FALSE)&amp;VLOOKUP(BK$21,consumptionMap,2,FALSE),rawDataTable,MATCH("import",rawDataTableRows,FALSE),FALSE)/1000
*IF($AB$6=$B$55,$F$22,1)
*IF($O$6=$B$57,1/12,1),"-")</f>
        <v>0.87619780645161205</v>
      </c>
      <c r="BL23" s="167">
        <f t="shared" si="7"/>
        <v>1.9715752086021501</v>
      </c>
      <c r="BM23" s="167">
        <f t="shared" si="7"/>
        <v>3.3649602752688104</v>
      </c>
      <c r="BN23" s="168"/>
      <c r="BO23" s="167">
        <f>IFERROR(($AC23-BG23),"-")</f>
        <v>0.9488021935483899</v>
      </c>
      <c r="BP23" s="167">
        <f t="shared" ref="BP23:BQ23" si="8">IFERROR(($AC23-BH23),"-")</f>
        <v>1.6784247913978478</v>
      </c>
      <c r="BQ23" s="167">
        <f t="shared" si="8"/>
        <v>2.1100397247311808</v>
      </c>
    </row>
    <row r="24" spans="2:69" s="1" customFormat="1" ht="30" customHeight="1" thickBot="1">
      <c r="B24" s="280"/>
      <c r="C24" s="280"/>
      <c r="D24" s="280"/>
      <c r="E24" s="280"/>
      <c r="F24" s="287"/>
      <c r="G24" s="287"/>
      <c r="H24" s="287"/>
      <c r="I24" s="287"/>
      <c r="J24" s="287"/>
      <c r="K24" s="287"/>
      <c r="M24" s="259"/>
      <c r="O24" s="244"/>
      <c r="P24" s="244"/>
      <c r="Q24" s="244"/>
      <c r="S24" s="238"/>
      <c r="T24" s="131"/>
      <c r="U24" s="243"/>
      <c r="V24" s="49"/>
      <c r="W24" s="286"/>
      <c r="X24" s="122">
        <v>3</v>
      </c>
      <c r="Y24" s="123">
        <f t="shared" si="0"/>
        <v>-137.73981066828918</v>
      </c>
      <c r="Z24" s="123">
        <f t="shared" si="0"/>
        <v>126.88295040631954</v>
      </c>
      <c r="AA24" s="123">
        <f t="shared" si="0"/>
        <v>359.47949346041219</v>
      </c>
      <c r="AB24" s="239"/>
      <c r="AC24" s="124">
        <f>IFERROR(VLOOKUP(VLOOKUP($S$23,demoMap,2,FALSE)&amp;VLOOKUP($AH24,systemMap,2,FALSE)&amp;VLOOKUP(BC$21,consumptionMap,2,FALSE),rawDataTable,MATCH("gen",rawDataTableRows,FALSE),FALSE)/1000
*IF($AB$6=$B$55,$F$22,1)
*IF($O$6=$B$57,1/12,1),"-")</f>
        <v>3.3045390387096698</v>
      </c>
      <c r="AD24" s="125"/>
      <c r="AE24" s="124">
        <f>(BP24+BH24)*$J$47</f>
        <v>4.1306737983870869</v>
      </c>
      <c r="AF24" s="57"/>
      <c r="AG24" s="260"/>
      <c r="AH24" s="162">
        <v>3</v>
      </c>
      <c r="AI24" s="163">
        <f>AU24+AQ24-AY24</f>
        <v>481.5356191581788</v>
      </c>
      <c r="AJ24" s="163">
        <f t="shared" si="1"/>
        <v>746.15838023278752</v>
      </c>
      <c r="AK24" s="163">
        <f t="shared" si="1"/>
        <v>978.75492328688017</v>
      </c>
      <c r="AL24" s="262"/>
      <c r="AM24" s="263">
        <f xml:space="preserve"> IF($J$31="Annual",PMT($I$28,$J$30,$H$39),PMT($I$28/4,$J$30*4,$H$39)*4)
*IF($AB$6=$B$55,$F$22,1)
*IF($O$6=$B$57,1/12,1)</f>
        <v>-619.27542982646798</v>
      </c>
      <c r="AN24" s="263"/>
      <c r="AO24" s="263"/>
      <c r="AP24" s="144"/>
      <c r="AQ24" s="163">
        <f t="shared" si="2"/>
        <v>140.23600006451582</v>
      </c>
      <c r="AR24" s="163">
        <f t="shared" si="2"/>
        <v>88.399279354838399</v>
      </c>
      <c r="AS24" s="163">
        <f t="shared" si="2"/>
        <v>47.214111096774175</v>
      </c>
      <c r="AT24" s="164"/>
      <c r="AU24" s="163">
        <f t="shared" si="3"/>
        <v>547.5</v>
      </c>
      <c r="AV24" s="163">
        <f t="shared" si="3"/>
        <v>1095</v>
      </c>
      <c r="AW24" s="163">
        <f t="shared" si="3"/>
        <v>1642.5</v>
      </c>
      <c r="AX24" s="164"/>
      <c r="AY24" s="163">
        <f t="shared" si="4"/>
        <v>206.20038090633699</v>
      </c>
      <c r="AZ24" s="163">
        <f t="shared" si="4"/>
        <v>437.24089912205096</v>
      </c>
      <c r="BA24" s="163">
        <f t="shared" si="4"/>
        <v>710.95918780989393</v>
      </c>
      <c r="BB24" s="156"/>
      <c r="BC24" s="165">
        <f t="shared" si="5"/>
        <v>1.825</v>
      </c>
      <c r="BD24" s="165">
        <f t="shared" si="5"/>
        <v>3.65</v>
      </c>
      <c r="BE24" s="165">
        <f t="shared" si="5"/>
        <v>5.4749999999999996</v>
      </c>
      <c r="BF24" s="166"/>
      <c r="BG24" s="167">
        <f t="shared" si="6"/>
        <v>2.3372666677419303</v>
      </c>
      <c r="BH24" s="167">
        <f t="shared" si="6"/>
        <v>1.4733213225806401</v>
      </c>
      <c r="BI24" s="167">
        <f t="shared" si="6"/>
        <v>0.78690185161290294</v>
      </c>
      <c r="BJ24" s="168"/>
      <c r="BK24" s="167">
        <f t="shared" si="7"/>
        <v>0.85772762903225808</v>
      </c>
      <c r="BL24" s="167">
        <f t="shared" si="7"/>
        <v>1.8187822838709602</v>
      </c>
      <c r="BM24" s="167">
        <f t="shared" si="7"/>
        <v>2.9573628129032201</v>
      </c>
      <c r="BN24" s="168"/>
      <c r="BO24" s="167">
        <f t="shared" ref="BO24:BO26" si="9">IFERROR(($AC24-BG24),"-")</f>
        <v>0.96727237096773955</v>
      </c>
      <c r="BP24" s="167">
        <f t="shared" ref="BP24:BP26" si="10">IFERROR(($AC24-BH24),"-")</f>
        <v>1.8312177161290297</v>
      </c>
      <c r="BQ24" s="167">
        <f t="shared" ref="BQ24:BQ26" si="11">IFERROR(($AC24-BI24),"-")</f>
        <v>2.5176371870967671</v>
      </c>
    </row>
    <row r="25" spans="2:69" s="1" customFormat="1" ht="30" customHeight="1">
      <c r="B25" s="94"/>
      <c r="C25" s="94"/>
      <c r="D25" s="94"/>
      <c r="E25" s="94"/>
      <c r="F25" s="66"/>
      <c r="G25" s="66"/>
      <c r="H25" s="66"/>
      <c r="I25" s="66"/>
      <c r="J25" s="66"/>
      <c r="K25" s="66"/>
      <c r="M25" s="259"/>
      <c r="O25" s="294" t="str">
        <f>"for all "&amp;F22&amp;" households"</f>
        <v>for all 1000 households</v>
      </c>
      <c r="P25" s="294"/>
      <c r="Q25" s="294"/>
      <c r="S25" s="238"/>
      <c r="T25" s="131"/>
      <c r="U25" s="243"/>
      <c r="V25" s="49"/>
      <c r="W25" s="286"/>
      <c r="X25" s="122">
        <v>4</v>
      </c>
      <c r="Y25" s="123">
        <f t="shared" si="0"/>
        <v>-217.66848052211128</v>
      </c>
      <c r="Z25" s="123">
        <f t="shared" si="0"/>
        <v>58.111588436986949</v>
      </c>
      <c r="AA25" s="123">
        <f t="shared" si="0"/>
        <v>310.54950068066978</v>
      </c>
      <c r="AB25" s="239"/>
      <c r="AC25" s="124">
        <f>IFERROR(VLOOKUP(VLOOKUP($S$23,demoMap,2,FALSE)&amp;VLOOKUP($AH25,systemMap,2,FALSE)&amp;VLOOKUP(BC$21,consumptionMap,2,FALSE),rawDataTable,MATCH("gen",rawDataTableRows,FALSE),FALSE)/1000
*IF($AB$6=$B$55,$F$22,1)
*IF($O$6=$B$57,1/12,1),"-")</f>
        <v>4.4060520516128996</v>
      </c>
      <c r="AD25" s="125"/>
      <c r="AE25" s="124">
        <f>(BP25+BH25)*$J$47</f>
        <v>5.5075650645161245</v>
      </c>
      <c r="AF25" s="57"/>
      <c r="AG25" s="260"/>
      <c r="AH25" s="162">
        <v>4</v>
      </c>
      <c r="AI25" s="163">
        <f>AU25+AQ25-AY25</f>
        <v>548.44545328382844</v>
      </c>
      <c r="AJ25" s="163">
        <f t="shared" si="1"/>
        <v>824.22552224292667</v>
      </c>
      <c r="AK25" s="163">
        <f t="shared" si="1"/>
        <v>1076.6634344866095</v>
      </c>
      <c r="AL25" s="262"/>
      <c r="AM25" s="263">
        <f xml:space="preserve"> IF($J$31="Annual",PMT($I$28,$J$30,$H$40),PMT($I$28/4,$J$30*4,$H$40)*4)
*IF($AB$6=$B$55,$F$22,1)
*IF($O$6=$B$57,1/12,1)</f>
        <v>-766.11393380593972</v>
      </c>
      <c r="AN25" s="263"/>
      <c r="AO25" s="263"/>
      <c r="AP25" s="144"/>
      <c r="AQ25" s="163">
        <f t="shared" si="2"/>
        <v>206.05437309677401</v>
      </c>
      <c r="AR25" s="163">
        <f t="shared" si="2"/>
        <v>150.50685987096779</v>
      </c>
      <c r="AS25" s="163">
        <f t="shared" si="2"/>
        <v>102.7226799999996</v>
      </c>
      <c r="AT25" s="164"/>
      <c r="AU25" s="163">
        <f t="shared" si="3"/>
        <v>547.5</v>
      </c>
      <c r="AV25" s="163">
        <f t="shared" si="3"/>
        <v>1095</v>
      </c>
      <c r="AW25" s="163">
        <f t="shared" si="3"/>
        <v>1642.5</v>
      </c>
      <c r="AX25" s="164"/>
      <c r="AY25" s="163">
        <f t="shared" si="4"/>
        <v>205.10891981294563</v>
      </c>
      <c r="AZ25" s="163">
        <f t="shared" si="4"/>
        <v>421.281337628041</v>
      </c>
      <c r="BA25" s="163">
        <f t="shared" si="4"/>
        <v>668.55924551339012</v>
      </c>
      <c r="BB25" s="156"/>
      <c r="BC25" s="165">
        <f t="shared" si="5"/>
        <v>1.825</v>
      </c>
      <c r="BD25" s="165">
        <f t="shared" si="5"/>
        <v>3.65</v>
      </c>
      <c r="BE25" s="165">
        <f t="shared" si="5"/>
        <v>5.4749999999999996</v>
      </c>
      <c r="BF25" s="166"/>
      <c r="BG25" s="167">
        <f t="shared" si="6"/>
        <v>3.4342395516129001</v>
      </c>
      <c r="BH25" s="167">
        <f>IFERROR(VLOOKUP(VLOOKUP($S$23,demoMap,2,FALSE)&amp;VLOOKUP($AH25,systemMap,2,FALSE)&amp;VLOOKUP(BH$21,consumptionMap,2,FALSE),rawDataTable,MATCH("export",rawDataTableRows,FALSE),FALSE)/1000
*IF($AB$6=$B$55,$F$22,1)
*IF($O$6=$B$57,1/12,1),"-")</f>
        <v>2.50844766451613</v>
      </c>
      <c r="BI25" s="167">
        <f t="shared" si="6"/>
        <v>1.71204466666666</v>
      </c>
      <c r="BJ25" s="168"/>
      <c r="BK25" s="167">
        <f t="shared" si="7"/>
        <v>0.85318749999999999</v>
      </c>
      <c r="BL25" s="167">
        <f t="shared" si="7"/>
        <v>1.7523956129032199</v>
      </c>
      <c r="BM25" s="167">
        <f t="shared" si="7"/>
        <v>2.7809926150537598</v>
      </c>
      <c r="BN25" s="168"/>
      <c r="BO25" s="167">
        <f t="shared" si="9"/>
        <v>0.97181249999999952</v>
      </c>
      <c r="BP25" s="167">
        <f t="shared" si="10"/>
        <v>1.8976043870967696</v>
      </c>
      <c r="BQ25" s="167">
        <f t="shared" si="11"/>
        <v>2.6940073849462394</v>
      </c>
    </row>
    <row r="26" spans="2:69" s="1" customFormat="1" ht="30" customHeight="1">
      <c r="B26" s="273" t="s">
        <v>169</v>
      </c>
      <c r="C26" s="273"/>
      <c r="D26" s="273"/>
      <c r="E26" s="273"/>
      <c r="F26" s="288" t="s">
        <v>158</v>
      </c>
      <c r="G26" s="288"/>
      <c r="H26" s="288"/>
      <c r="I26" s="296">
        <f>AVERAGE(J38:K42)</f>
        <v>5287500</v>
      </c>
      <c r="J26" s="296"/>
      <c r="K26" s="296"/>
      <c r="M26" s="259"/>
      <c r="O26" s="295"/>
      <c r="P26" s="295"/>
      <c r="Q26" s="295"/>
      <c r="S26" s="238"/>
      <c r="T26" s="131"/>
      <c r="U26" s="243"/>
      <c r="V26" s="49"/>
      <c r="W26" s="286"/>
      <c r="X26" s="122">
        <v>5</v>
      </c>
      <c r="Y26" s="123">
        <f t="shared" si="0"/>
        <v>-272.87907260052464</v>
      </c>
      <c r="Z26" s="123">
        <f t="shared" si="0"/>
        <v>6.8361058993070856</v>
      </c>
      <c r="AA26" s="123">
        <f t="shared" si="0"/>
        <v>272.83022907133864</v>
      </c>
      <c r="AB26" s="239"/>
      <c r="AC26" s="124">
        <f>IFERROR(VLOOKUP(VLOOKUP($S$23,demoMap,2,FALSE)&amp;VLOOKUP($AH26,systemMap,2,FALSE)&amp;VLOOKUP(BC$21,consumptionMap,2,FALSE),rawDataTable,MATCH("gen",rawDataTableRows,FALSE),FALSE)/1000
*IF($AB$6=$B$55,$F$22,1)
*IF($O$6=$B$57,1/12,1),"-")</f>
        <v>5.50756506451612</v>
      </c>
      <c r="AD26" s="125"/>
      <c r="AE26" s="124">
        <f>(BP26+BH26)*$J$47</f>
        <v>6.8844563306451505</v>
      </c>
      <c r="AF26" s="57"/>
      <c r="AG26" s="260"/>
      <c r="AH26" s="162">
        <v>5</v>
      </c>
      <c r="AI26" s="163">
        <f>AU26+AQ26-AY26</f>
        <v>614.53623405802216</v>
      </c>
      <c r="AJ26" s="163">
        <f t="shared" si="1"/>
        <v>894.25141255785388</v>
      </c>
      <c r="AK26" s="163">
        <f t="shared" si="1"/>
        <v>1160.2455357298854</v>
      </c>
      <c r="AL26" s="262"/>
      <c r="AM26" s="263">
        <f xml:space="preserve"> IF($J$31="Annual",PMT($I$28,$J$30,$H$41),PMT($I$28/4,$J$30*4,$H$41)*4)
*IF($AB$6=$B$55,$F$22,1)
*IF($O$6=$B$57,1/12,1)</f>
        <v>-887.4153066585468</v>
      </c>
      <c r="AN26" s="263"/>
      <c r="AO26" s="263"/>
      <c r="AP26" s="144"/>
      <c r="AQ26" s="163">
        <f t="shared" si="2"/>
        <v>272.14515387096782</v>
      </c>
      <c r="AR26" s="163">
        <f t="shared" si="2"/>
        <v>215.28886838709661</v>
      </c>
      <c r="AS26" s="163">
        <f t="shared" si="2"/>
        <v>162.99604838709661</v>
      </c>
      <c r="AT26" s="164"/>
      <c r="AU26" s="163">
        <f t="shared" si="3"/>
        <v>547.5</v>
      </c>
      <c r="AV26" s="163">
        <f t="shared" si="3"/>
        <v>1095</v>
      </c>
      <c r="AW26" s="163">
        <f t="shared" si="3"/>
        <v>1642.5</v>
      </c>
      <c r="AX26" s="164"/>
      <c r="AY26" s="163">
        <f t="shared" si="4"/>
        <v>205.10891981294563</v>
      </c>
      <c r="AZ26" s="163">
        <f t="shared" si="4"/>
        <v>416.03745582924262</v>
      </c>
      <c r="BA26" s="163">
        <f t="shared" si="4"/>
        <v>645.25051265721117</v>
      </c>
      <c r="BB26" s="156"/>
      <c r="BC26" s="165">
        <f t="shared" si="5"/>
        <v>1.825</v>
      </c>
      <c r="BD26" s="165">
        <f t="shared" si="5"/>
        <v>3.65</v>
      </c>
      <c r="BE26" s="165">
        <f t="shared" si="5"/>
        <v>5.4749999999999996</v>
      </c>
      <c r="BF26" s="166"/>
      <c r="BG26" s="167">
        <f t="shared" si="6"/>
        <v>4.5357525645161303</v>
      </c>
      <c r="BH26" s="167">
        <f t="shared" si="6"/>
        <v>3.5881478064516101</v>
      </c>
      <c r="BI26" s="167">
        <f t="shared" si="6"/>
        <v>2.7166008064516101</v>
      </c>
      <c r="BJ26" s="168"/>
      <c r="BK26" s="167">
        <f t="shared" si="7"/>
        <v>0.85318749999999999</v>
      </c>
      <c r="BL26" s="167">
        <f t="shared" si="7"/>
        <v>1.73058274193548</v>
      </c>
      <c r="BM26" s="167">
        <f t="shared" si="7"/>
        <v>2.6840357419354799</v>
      </c>
      <c r="BN26" s="168"/>
      <c r="BO26" s="167">
        <f t="shared" si="9"/>
        <v>0.97181249999998975</v>
      </c>
      <c r="BP26" s="167">
        <f t="shared" si="10"/>
        <v>1.9194172580645099</v>
      </c>
      <c r="BQ26" s="167">
        <f t="shared" si="11"/>
        <v>2.79096425806451</v>
      </c>
    </row>
    <row r="27" spans="2:69" s="1" customFormat="1" ht="30" customHeight="1">
      <c r="B27" s="273"/>
      <c r="C27" s="273"/>
      <c r="D27" s="273"/>
      <c r="E27" s="273"/>
      <c r="F27" s="288"/>
      <c r="G27" s="288"/>
      <c r="H27" s="288"/>
      <c r="I27" s="296"/>
      <c r="J27" s="296"/>
      <c r="K27" s="296"/>
      <c r="M27" s="259"/>
      <c r="O27" s="93"/>
      <c r="P27" s="93"/>
      <c r="Q27" s="93"/>
      <c r="S27" s="132"/>
      <c r="T27" s="131"/>
      <c r="U27" s="133"/>
      <c r="V27" s="49"/>
      <c r="W27" s="126"/>
      <c r="X27" s="127"/>
      <c r="Y27" s="123"/>
      <c r="Z27" s="123"/>
      <c r="AA27" s="123"/>
      <c r="AB27" s="128"/>
      <c r="AC27" s="129"/>
      <c r="AD27" s="130"/>
      <c r="AE27" s="129"/>
      <c r="AF27" s="47"/>
      <c r="AG27" s="169"/>
      <c r="AH27" s="170"/>
      <c r="AI27" s="163"/>
      <c r="AJ27" s="163"/>
      <c r="AK27" s="163"/>
      <c r="AL27" s="171"/>
      <c r="AM27" s="144"/>
      <c r="AN27" s="144"/>
      <c r="AO27" s="144"/>
      <c r="AP27" s="144"/>
      <c r="AQ27" s="163"/>
      <c r="AR27" s="163"/>
      <c r="AS27" s="163"/>
      <c r="AT27" s="164"/>
      <c r="AU27" s="163"/>
      <c r="AV27" s="163"/>
      <c r="AW27" s="163"/>
      <c r="AX27" s="164"/>
      <c r="AY27" s="163"/>
      <c r="AZ27" s="163"/>
      <c r="BA27" s="163"/>
      <c r="BB27" s="156"/>
      <c r="BC27" s="167"/>
      <c r="BD27" s="167"/>
      <c r="BE27" s="167"/>
      <c r="BF27" s="166"/>
      <c r="BG27" s="167"/>
      <c r="BH27" s="167"/>
      <c r="BI27" s="167"/>
      <c r="BJ27" s="168"/>
      <c r="BK27" s="167"/>
      <c r="BL27" s="167"/>
      <c r="BM27" s="167"/>
      <c r="BN27" s="168"/>
      <c r="BO27" s="167"/>
      <c r="BP27" s="167"/>
      <c r="BQ27" s="167"/>
    </row>
    <row r="28" spans="2:69" s="1" customFormat="1" ht="30" customHeight="1">
      <c r="B28" s="273"/>
      <c r="C28" s="273"/>
      <c r="D28" s="273"/>
      <c r="E28" s="273"/>
      <c r="F28" s="288" t="s">
        <v>160</v>
      </c>
      <c r="G28" s="288"/>
      <c r="H28" s="288"/>
      <c r="I28" s="297">
        <v>0.05</v>
      </c>
      <c r="J28" s="297"/>
      <c r="K28" s="297"/>
      <c r="M28" s="259"/>
      <c r="O28" s="277">
        <f>AVERAGE(U23,U28,U33,U38)*IF($AB$6=$B$54,1,1/$F$22)</f>
        <v>-0.41657575104917655</v>
      </c>
      <c r="P28" s="277"/>
      <c r="Q28" s="277"/>
      <c r="S28" s="238" t="s">
        <v>46</v>
      </c>
      <c r="T28" s="131"/>
      <c r="U28" s="243">
        <f>AVERAGE(Y28:AA31)</f>
        <v>33.683468567086116</v>
      </c>
      <c r="V28" s="49"/>
      <c r="W28" s="285" t="s">
        <v>147</v>
      </c>
      <c r="X28" s="122">
        <v>2</v>
      </c>
      <c r="Y28" s="123">
        <f t="shared" ref="Y28:AA31" si="12">AI28+$AM28</f>
        <v>-46.875689555655015</v>
      </c>
      <c r="Z28" s="123">
        <f t="shared" si="12"/>
        <v>162.76879973502304</v>
      </c>
      <c r="AA28" s="123">
        <f t="shared" si="12"/>
        <v>341.41547103247962</v>
      </c>
      <c r="AB28" s="239"/>
      <c r="AC28" s="124">
        <f>IFERROR(VLOOKUP(VLOOKUP($S$28,demoMap,2,FALSE)&amp;VLOOKUP($AH28,systemMap,2,FALSE)&amp;VLOOKUP(BC$21,consumptionMap,2,FALSE),rawDataTable,MATCH("gen",rawDataTableRows,FALSE),FALSE)/1000
*IF($AB$6=$B$55,$F$22,1)
*IF($O$6=$B$57,1/12,1),"-")</f>
        <v>2.2030260258064498</v>
      </c>
      <c r="AD28" s="125"/>
      <c r="AE28" s="124">
        <f>(BP28+BH28)*$J$47</f>
        <v>2.7537825322580622</v>
      </c>
      <c r="AF28" s="47"/>
      <c r="AG28" s="260" t="s">
        <v>147</v>
      </c>
      <c r="AH28" s="162">
        <v>2</v>
      </c>
      <c r="AI28" s="163">
        <f>$AU28+AQ28-AY28</f>
        <v>380.87125681932798</v>
      </c>
      <c r="AJ28" s="163">
        <f t="shared" ref="AJ28:AK31" si="13">AV28+AR28-AZ28</f>
        <v>590.51574611000603</v>
      </c>
      <c r="AK28" s="163">
        <f t="shared" si="13"/>
        <v>769.16241740746261</v>
      </c>
      <c r="AL28" s="262" t="s">
        <v>140</v>
      </c>
      <c r="AM28" s="263">
        <f xml:space="preserve"> IF($J$31="Annual",PMT($I$28,$J$30,$H$38),PMT($I$28/4,$J$30*4,$H$38)*4)*
IF($AB$6=$B$55,$F$22,1)
*IF($O$6=$B$57,1/12,1)</f>
        <v>-427.746946374983</v>
      </c>
      <c r="AN28" s="263"/>
      <c r="AO28" s="263"/>
      <c r="AP28" s="144"/>
      <c r="AQ28" s="163">
        <f t="shared" ref="AQ28:AS31" si="14">BG28*$I$34</f>
        <v>85.643995612903197</v>
      </c>
      <c r="AR28" s="163">
        <f t="shared" si="14"/>
        <v>52.092416946236511</v>
      </c>
      <c r="AS28" s="163">
        <f t="shared" si="14"/>
        <v>28.850356688171999</v>
      </c>
      <c r="AT28" s="164"/>
      <c r="AU28" s="163">
        <f t="shared" ref="AU28:AW31" si="15">BC$23*$I$33</f>
        <v>547.5</v>
      </c>
      <c r="AV28" s="163">
        <f t="shared" si="15"/>
        <v>1095</v>
      </c>
      <c r="AW28" s="163">
        <f t="shared" si="15"/>
        <v>1642.5</v>
      </c>
      <c r="AX28" s="164"/>
      <c r="AY28" s="163">
        <f t="shared" ref="AY28:BA31" si="16">BK28*$J$35</f>
        <v>252.27273879357514</v>
      </c>
      <c r="AZ28" s="163">
        <f t="shared" si="16"/>
        <v>556.57667083623039</v>
      </c>
      <c r="BA28" s="163">
        <f t="shared" si="16"/>
        <v>902.18793928070943</v>
      </c>
      <c r="BB28" s="156"/>
      <c r="BC28" s="167">
        <f t="shared" ref="BC28:BE31" si="17">BC$21*365/1000
*IF($AB$6=$B$55,$F$22,1)
*IF($O$6=$B$57,1/12,1)</f>
        <v>1.825</v>
      </c>
      <c r="BD28" s="167">
        <f t="shared" si="17"/>
        <v>3.65</v>
      </c>
      <c r="BE28" s="167">
        <f t="shared" si="17"/>
        <v>5.4749999999999996</v>
      </c>
      <c r="BF28" s="172"/>
      <c r="BG28" s="167">
        <f t="shared" ref="BG28:BI31" si="18">IFERROR(VLOOKUP(VLOOKUP($S$28,demoMap,2,FALSE)&amp;VLOOKUP($AH28,systemMap,2,FALSE)&amp;VLOOKUP(BG$21,consumptionMap,2,FALSE),rawDataTable,MATCH("export",rawDataTableRows,FALSE),FALSE)/1000
*IF($AB$6=$B$55,$F$22,1)
*IF($O$6=$B$57,1/12,1),"-")</f>
        <v>1.4273999268817199</v>
      </c>
      <c r="BH28" s="167">
        <f t="shared" si="18"/>
        <v>0.86820694910394192</v>
      </c>
      <c r="BI28" s="167">
        <f t="shared" si="18"/>
        <v>0.48083927813619998</v>
      </c>
      <c r="BJ28" s="168"/>
      <c r="BK28" s="167">
        <f t="shared" ref="BK28:BM31" si="19">IFERROR(VLOOKUP(VLOOKUP($S$28,demoMap,2,FALSE)&amp;VLOOKUP($AH28,systemMap,2,FALSE)&amp;VLOOKUP(BK$21,consumptionMap,2,FALSE),rawDataTable,MATCH("import",rawDataTableRows,FALSE),FALSE)/1000
*IF($AB$6=$B$55,$F$22,1)
*IF($O$6=$B$57,1/12,1),"-")</f>
        <v>1.0493739010752599</v>
      </c>
      <c r="BL28" s="167">
        <f t="shared" si="19"/>
        <v>2.3151809232974903</v>
      </c>
      <c r="BM28" s="167">
        <f t="shared" si="19"/>
        <v>3.7528132523297399</v>
      </c>
      <c r="BN28" s="168"/>
      <c r="BO28" s="167">
        <f>IFERROR(($AC28-BG28),"-")</f>
        <v>0.77562609892472989</v>
      </c>
      <c r="BP28" s="167">
        <f t="shared" ref="BP28:BQ28" si="20">IFERROR(($AC28-BH28),"-")</f>
        <v>1.3348190767025079</v>
      </c>
      <c r="BQ28" s="167">
        <f t="shared" si="20"/>
        <v>1.7221867476702499</v>
      </c>
    </row>
    <row r="29" spans="2:69" s="1" customFormat="1" ht="30" customHeight="1">
      <c r="B29" s="273"/>
      <c r="C29" s="273"/>
      <c r="D29" s="273"/>
      <c r="E29" s="273"/>
      <c r="F29" s="288"/>
      <c r="G29" s="288"/>
      <c r="H29" s="288"/>
      <c r="I29" s="297"/>
      <c r="J29" s="297"/>
      <c r="K29" s="297"/>
      <c r="M29" s="259"/>
      <c r="O29" s="277"/>
      <c r="P29" s="277"/>
      <c r="Q29" s="277"/>
      <c r="S29" s="238"/>
      <c r="T29" s="131"/>
      <c r="U29" s="243"/>
      <c r="V29" s="49"/>
      <c r="W29" s="286"/>
      <c r="X29" s="122">
        <v>3</v>
      </c>
      <c r="Y29" s="123">
        <f t="shared" si="12"/>
        <v>-167.18070037917801</v>
      </c>
      <c r="Z29" s="123">
        <f t="shared" si="12"/>
        <v>63.405112011246842</v>
      </c>
      <c r="AA29" s="123">
        <f t="shared" si="12"/>
        <v>266.49818933854237</v>
      </c>
      <c r="AB29" s="239"/>
      <c r="AC29" s="124">
        <f>IFERROR(VLOOKUP(VLOOKUP($S$28,demoMap,2,FALSE)&amp;VLOOKUP($AH29,systemMap,2,FALSE)&amp;VLOOKUP(BC$21,consumptionMap,2,FALSE),rawDataTable,MATCH("gen",rawDataTableRows,FALSE),FALSE)/1000
*IF($AB$6=$B$55,$F$22,1)
*IF($O$6=$B$57,1/12,1),"-")</f>
        <v>3.3045390387096698</v>
      </c>
      <c r="AD29" s="125"/>
      <c r="AE29" s="124">
        <f>(BP29+BH29)*$J$47</f>
        <v>4.1306737983870869</v>
      </c>
      <c r="AF29" s="47"/>
      <c r="AG29" s="260"/>
      <c r="AH29" s="162">
        <v>3</v>
      </c>
      <c r="AI29" s="163">
        <f>AU29+AQ29-AY29</f>
        <v>452.09472944728998</v>
      </c>
      <c r="AJ29" s="163">
        <f t="shared" si="13"/>
        <v>682.68054183771483</v>
      </c>
      <c r="AK29" s="163">
        <f t="shared" si="13"/>
        <v>885.77361916501036</v>
      </c>
      <c r="AL29" s="262"/>
      <c r="AM29" s="263">
        <f xml:space="preserve"> IF($J$31="Annual",PMT($I$28,$J$30,$H$39),PMT($I$28/4,$J$30*4,$H$39)*4)
*IF($AB$6=$B$55,$F$22,1)
*IF($O$6=$B$57,1/12,1)</f>
        <v>-619.27542982646798</v>
      </c>
      <c r="AN29" s="263"/>
      <c r="AO29" s="263"/>
      <c r="AP29" s="144"/>
      <c r="AQ29" s="163">
        <f t="shared" si="14"/>
        <v>150.02770199999998</v>
      </c>
      <c r="AR29" s="163">
        <f t="shared" si="14"/>
        <v>109.511279677419</v>
      </c>
      <c r="AS29" s="163">
        <f t="shared" si="14"/>
        <v>78.138625419354597</v>
      </c>
      <c r="AT29" s="164"/>
      <c r="AU29" s="163">
        <f t="shared" si="15"/>
        <v>547.5</v>
      </c>
      <c r="AV29" s="163">
        <f t="shared" si="15"/>
        <v>1095</v>
      </c>
      <c r="AW29" s="163">
        <f t="shared" si="15"/>
        <v>1642.5</v>
      </c>
      <c r="AX29" s="164"/>
      <c r="AY29" s="163">
        <f t="shared" si="16"/>
        <v>245.43297255271</v>
      </c>
      <c r="AZ29" s="163">
        <f t="shared" si="16"/>
        <v>521.83073783970417</v>
      </c>
      <c r="BA29" s="163">
        <f t="shared" si="16"/>
        <v>834.86500625434428</v>
      </c>
      <c r="BB29" s="156"/>
      <c r="BC29" s="167">
        <f t="shared" si="17"/>
        <v>1.825</v>
      </c>
      <c r="BD29" s="167">
        <f t="shared" si="17"/>
        <v>3.65</v>
      </c>
      <c r="BE29" s="167">
        <f t="shared" si="17"/>
        <v>5.4749999999999996</v>
      </c>
      <c r="BF29" s="172"/>
      <c r="BG29" s="167">
        <f t="shared" si="18"/>
        <v>2.5004616999999998</v>
      </c>
      <c r="BH29" s="167">
        <f t="shared" si="18"/>
        <v>1.82518799462365</v>
      </c>
      <c r="BI29" s="167">
        <f t="shared" si="18"/>
        <v>1.30231042365591</v>
      </c>
      <c r="BJ29" s="168"/>
      <c r="BK29" s="167">
        <f t="shared" si="19"/>
        <v>1.0209226612903199</v>
      </c>
      <c r="BL29" s="167">
        <f t="shared" si="19"/>
        <v>2.1706489559139701</v>
      </c>
      <c r="BM29" s="167">
        <f t="shared" si="19"/>
        <v>3.4727713849462298</v>
      </c>
      <c r="BN29" s="168"/>
      <c r="BO29" s="167">
        <f t="shared" ref="BO29:BO31" si="21">IFERROR(($AC29-BG29),"-")</f>
        <v>0.80407733870967002</v>
      </c>
      <c r="BP29" s="167">
        <f t="shared" ref="BP29:BP31" si="22">IFERROR(($AC29-BH29),"-")</f>
        <v>1.4793510440860198</v>
      </c>
      <c r="BQ29" s="167">
        <f t="shared" ref="BQ29:BQ31" si="23">IFERROR(($AC29-BI29),"-")</f>
        <v>2.0022286150537596</v>
      </c>
    </row>
    <row r="30" spans="2:69" s="1" customFormat="1" ht="30" customHeight="1">
      <c r="B30" s="273"/>
      <c r="C30" s="273"/>
      <c r="D30" s="273"/>
      <c r="E30" s="273"/>
      <c r="F30" s="203" t="s">
        <v>156</v>
      </c>
      <c r="G30" s="97"/>
      <c r="H30" s="97"/>
      <c r="I30" s="90"/>
      <c r="J30" s="300">
        <v>10</v>
      </c>
      <c r="K30" s="300"/>
      <c r="O30" s="294" t="str">
        <f>"per average household"</f>
        <v>per average household</v>
      </c>
      <c r="P30" s="294"/>
      <c r="Q30" s="294"/>
      <c r="S30" s="238"/>
      <c r="T30" s="131"/>
      <c r="U30" s="243"/>
      <c r="V30" s="49"/>
      <c r="W30" s="286"/>
      <c r="X30" s="122">
        <v>4</v>
      </c>
      <c r="Y30" s="123">
        <f t="shared" si="12"/>
        <v>-247.57405273175618</v>
      </c>
      <c r="Z30" s="123">
        <f t="shared" si="12"/>
        <v>-4.37142016728626</v>
      </c>
      <c r="AA30" s="123">
        <f t="shared" si="12"/>
        <v>215.07208049181418</v>
      </c>
      <c r="AB30" s="239"/>
      <c r="AC30" s="124">
        <f>IFERROR(VLOOKUP(VLOOKUP($S$28,demoMap,2,FALSE)&amp;VLOOKUP($AH30,systemMap,2,FALSE)&amp;VLOOKUP(BC$21,consumptionMap,2,FALSE),rawDataTable,MATCH("gen",rawDataTableRows,FALSE),FALSE)/1000
*IF($AB$6=$B$55,$F$22,1)
*IF($O$6=$B$57,1/12,1),"-")</f>
        <v>4.4060520516128996</v>
      </c>
      <c r="AD30" s="125"/>
      <c r="AE30" s="124">
        <f>(BP30+BH30)*$J$47</f>
        <v>5.5075650645161245</v>
      </c>
      <c r="AF30" s="47"/>
      <c r="AG30" s="260"/>
      <c r="AH30" s="162">
        <v>4</v>
      </c>
      <c r="AI30" s="163">
        <f>AU30+AQ30-AY30</f>
        <v>518.53988107418354</v>
      </c>
      <c r="AJ30" s="163">
        <f t="shared" si="13"/>
        <v>761.74251363865346</v>
      </c>
      <c r="AK30" s="163">
        <f t="shared" si="13"/>
        <v>981.1860142977539</v>
      </c>
      <c r="AL30" s="262"/>
      <c r="AM30" s="263">
        <f xml:space="preserve"> IF($J$31="Annual",PMT($I$28,$J$30,$H$40),PMT($I$28/4,$J$30*4,$H$40)*4)
*IF($AB$6=$B$55,$F$22,1)
*IF($O$6=$B$57,1/12,1)</f>
        <v>-766.11393380593972</v>
      </c>
      <c r="AN30" s="263"/>
      <c r="AO30" s="263"/>
      <c r="AP30" s="144"/>
      <c r="AQ30" s="163">
        <f t="shared" si="14"/>
        <v>216.00062309677378</v>
      </c>
      <c r="AR30" s="163">
        <f t="shared" si="14"/>
        <v>171.28799122580639</v>
      </c>
      <c r="AS30" s="163">
        <f t="shared" si="14"/>
        <v>134.4773738709672</v>
      </c>
      <c r="AT30" s="164"/>
      <c r="AU30" s="163">
        <f t="shared" si="15"/>
        <v>547.5</v>
      </c>
      <c r="AV30" s="163">
        <f t="shared" si="15"/>
        <v>1095</v>
      </c>
      <c r="AW30" s="163">
        <f t="shared" si="15"/>
        <v>1642.5</v>
      </c>
      <c r="AX30" s="164"/>
      <c r="AY30" s="163">
        <f t="shared" si="16"/>
        <v>244.96074202259018</v>
      </c>
      <c r="AZ30" s="163">
        <f t="shared" si="16"/>
        <v>504.54547758715279</v>
      </c>
      <c r="BA30" s="163">
        <f t="shared" si="16"/>
        <v>795.79135957321341</v>
      </c>
      <c r="BB30" s="156"/>
      <c r="BC30" s="167">
        <f t="shared" si="17"/>
        <v>1.825</v>
      </c>
      <c r="BD30" s="167">
        <f t="shared" si="17"/>
        <v>3.65</v>
      </c>
      <c r="BE30" s="167">
        <f t="shared" si="17"/>
        <v>5.4749999999999996</v>
      </c>
      <c r="BF30" s="172"/>
      <c r="BG30" s="167">
        <f t="shared" si="18"/>
        <v>3.6000103849462297</v>
      </c>
      <c r="BH30" s="167">
        <f t="shared" si="18"/>
        <v>2.8547998537634398</v>
      </c>
      <c r="BI30" s="167">
        <f t="shared" si="18"/>
        <v>2.2412895645161202</v>
      </c>
      <c r="BJ30" s="168"/>
      <c r="BK30" s="167">
        <f t="shared" si="19"/>
        <v>1.0189583333333299</v>
      </c>
      <c r="BL30" s="167">
        <f t="shared" si="19"/>
        <v>2.0987478021505299</v>
      </c>
      <c r="BM30" s="167">
        <f t="shared" si="19"/>
        <v>3.3102375129032198</v>
      </c>
      <c r="BN30" s="168"/>
      <c r="BO30" s="167">
        <f t="shared" si="21"/>
        <v>0.80604166666666988</v>
      </c>
      <c r="BP30" s="167">
        <f t="shared" si="22"/>
        <v>1.5512521978494598</v>
      </c>
      <c r="BQ30" s="167">
        <f t="shared" si="23"/>
        <v>2.1647624870967794</v>
      </c>
    </row>
    <row r="31" spans="2:69" s="1" customFormat="1" ht="30" customHeight="1" thickBot="1">
      <c r="B31" s="274"/>
      <c r="C31" s="274"/>
      <c r="D31" s="274"/>
      <c r="E31" s="274"/>
      <c r="F31" s="203" t="s">
        <v>157</v>
      </c>
      <c r="G31" s="97"/>
      <c r="H31" s="97"/>
      <c r="I31" s="78"/>
      <c r="J31" s="301" t="s">
        <v>2</v>
      </c>
      <c r="K31" s="301"/>
      <c r="O31" s="295"/>
      <c r="P31" s="295"/>
      <c r="Q31" s="295"/>
      <c r="S31" s="238"/>
      <c r="T31" s="131"/>
      <c r="U31" s="243"/>
      <c r="V31" s="49"/>
      <c r="W31" s="286"/>
      <c r="X31" s="122">
        <v>5</v>
      </c>
      <c r="Y31" s="123">
        <f t="shared" si="12"/>
        <v>-302.78464481016931</v>
      </c>
      <c r="Z31" s="123">
        <f t="shared" si="12"/>
        <v>-53.387822150602233</v>
      </c>
      <c r="AA31" s="123">
        <f t="shared" si="12"/>
        <v>177.21629999057427</v>
      </c>
      <c r="AB31" s="239"/>
      <c r="AC31" s="124">
        <f>IFERROR(VLOOKUP(VLOOKUP($S$28,demoMap,2,FALSE)&amp;VLOOKUP($AH31,systemMap,2,FALSE)&amp;VLOOKUP(BC$21,consumptionMap,2,FALSE),rawDataTable,MATCH("gen",rawDataTableRows,FALSE),FALSE)/1000
*IF($AB$6=$B$55,$F$22,1)
*IF($O$6=$B$57,1/12,1),"-")</f>
        <v>5.50756506451612</v>
      </c>
      <c r="AD31" s="125"/>
      <c r="AE31" s="124">
        <f>(BP31+BH31)*$J$47</f>
        <v>6.8844563306451505</v>
      </c>
      <c r="AF31" s="47"/>
      <c r="AG31" s="260"/>
      <c r="AH31" s="162">
        <v>5</v>
      </c>
      <c r="AI31" s="163">
        <f>AU31+AQ31-AY31</f>
        <v>584.63066184837749</v>
      </c>
      <c r="AJ31" s="163">
        <f t="shared" si="13"/>
        <v>834.02748450794456</v>
      </c>
      <c r="AK31" s="163">
        <f t="shared" si="13"/>
        <v>1064.6316066491211</v>
      </c>
      <c r="AL31" s="262"/>
      <c r="AM31" s="263">
        <f xml:space="preserve"> IF($J$31="Annual",PMT($I$28,$J$30,$H$41),PMT($I$28/4,$J$30*4,$H$41)*4)
*IF($AB$6=$B$55,$F$22,1)
*IF($O$6=$B$57,1/12,1)</f>
        <v>-887.4153066585468</v>
      </c>
      <c r="AN31" s="263"/>
      <c r="AO31" s="263"/>
      <c r="AP31" s="144"/>
      <c r="AQ31" s="163">
        <f t="shared" si="14"/>
        <v>282.09140387096761</v>
      </c>
      <c r="AR31" s="163">
        <f t="shared" si="14"/>
        <v>235.31865548387103</v>
      </c>
      <c r="AS31" s="163">
        <f t="shared" si="14"/>
        <v>194.7961435483866</v>
      </c>
      <c r="AT31" s="164"/>
      <c r="AU31" s="163">
        <f t="shared" si="15"/>
        <v>547.5</v>
      </c>
      <c r="AV31" s="163">
        <f t="shared" si="15"/>
        <v>1095</v>
      </c>
      <c r="AW31" s="163">
        <f t="shared" si="15"/>
        <v>1642.5</v>
      </c>
      <c r="AX31" s="164"/>
      <c r="AY31" s="163">
        <f t="shared" si="16"/>
        <v>244.96074202259018</v>
      </c>
      <c r="AZ31" s="163">
        <f t="shared" si="16"/>
        <v>496.29117097592643</v>
      </c>
      <c r="BA31" s="163">
        <f t="shared" si="16"/>
        <v>772.66453689926561</v>
      </c>
      <c r="BB31" s="156"/>
      <c r="BC31" s="167">
        <f t="shared" si="17"/>
        <v>1.825</v>
      </c>
      <c r="BD31" s="167">
        <f t="shared" si="17"/>
        <v>3.65</v>
      </c>
      <c r="BE31" s="167">
        <f t="shared" si="17"/>
        <v>5.4749999999999996</v>
      </c>
      <c r="BF31" s="172"/>
      <c r="BG31" s="167">
        <f t="shared" si="18"/>
        <v>4.7015233978494599</v>
      </c>
      <c r="BH31" s="167">
        <f t="shared" si="18"/>
        <v>3.9219775913978503</v>
      </c>
      <c r="BI31" s="167">
        <f t="shared" si="18"/>
        <v>3.2466023924731098</v>
      </c>
      <c r="BJ31" s="168"/>
      <c r="BK31" s="167">
        <f t="shared" si="19"/>
        <v>1.0189583333333299</v>
      </c>
      <c r="BL31" s="167">
        <f t="shared" si="19"/>
        <v>2.0644125268817204</v>
      </c>
      <c r="BM31" s="167">
        <f t="shared" si="19"/>
        <v>3.2140373279569801</v>
      </c>
      <c r="BN31" s="168"/>
      <c r="BO31" s="167">
        <f t="shared" si="21"/>
        <v>0.80604166666666011</v>
      </c>
      <c r="BP31" s="167">
        <f t="shared" si="22"/>
        <v>1.5855874731182698</v>
      </c>
      <c r="BQ31" s="167">
        <f t="shared" si="23"/>
        <v>2.2609626720430103</v>
      </c>
    </row>
    <row r="32" spans="2:69" s="1" customFormat="1" ht="30" customHeight="1">
      <c r="B32" s="95"/>
      <c r="C32" s="95"/>
      <c r="D32" s="95"/>
      <c r="E32" s="95"/>
      <c r="F32" s="98"/>
      <c r="G32" s="99"/>
      <c r="H32" s="99"/>
      <c r="I32" s="76"/>
      <c r="J32" s="77"/>
      <c r="K32" s="77"/>
      <c r="O32" s="93"/>
      <c r="P32" s="93"/>
      <c r="Q32" s="93"/>
      <c r="S32" s="132"/>
      <c r="T32" s="131"/>
      <c r="U32" s="133"/>
      <c r="V32" s="49"/>
      <c r="W32" s="126"/>
      <c r="X32" s="127"/>
      <c r="Y32" s="123"/>
      <c r="Z32" s="123"/>
      <c r="AA32" s="123"/>
      <c r="AB32" s="128"/>
      <c r="AC32" s="129"/>
      <c r="AD32" s="130"/>
      <c r="AE32" s="129"/>
      <c r="AF32" s="47"/>
      <c r="AG32" s="169"/>
      <c r="AH32" s="170"/>
      <c r="AI32" s="163"/>
      <c r="AJ32" s="163"/>
      <c r="AK32" s="163"/>
      <c r="AL32" s="171"/>
      <c r="AM32" s="144"/>
      <c r="AN32" s="144"/>
      <c r="AO32" s="144"/>
      <c r="AP32" s="144"/>
      <c r="AQ32" s="163"/>
      <c r="AR32" s="163"/>
      <c r="AS32" s="163"/>
      <c r="AT32" s="164"/>
      <c r="AU32" s="163"/>
      <c r="AV32" s="163"/>
      <c r="AW32" s="163"/>
      <c r="AX32" s="164"/>
      <c r="AY32" s="163"/>
      <c r="AZ32" s="163"/>
      <c r="BA32" s="163"/>
      <c r="BB32" s="156"/>
      <c r="BC32" s="167"/>
      <c r="BD32" s="167"/>
      <c r="BE32" s="167"/>
      <c r="BF32" s="166"/>
      <c r="BG32" s="167"/>
      <c r="BH32" s="167"/>
      <c r="BI32" s="167"/>
      <c r="BJ32" s="168"/>
      <c r="BK32" s="167"/>
      <c r="BL32" s="167"/>
      <c r="BM32" s="167"/>
      <c r="BN32" s="168"/>
      <c r="BO32" s="167"/>
      <c r="BP32" s="167"/>
      <c r="BQ32" s="167"/>
    </row>
    <row r="33" spans="2:69" s="1" customFormat="1" ht="30" customHeight="1">
      <c r="B33" s="282" t="s">
        <v>170</v>
      </c>
      <c r="C33" s="282"/>
      <c r="D33" s="282"/>
      <c r="E33" s="282"/>
      <c r="F33" s="202" t="s">
        <v>161</v>
      </c>
      <c r="G33" s="100"/>
      <c r="H33" s="101"/>
      <c r="I33" s="268">
        <v>300</v>
      </c>
      <c r="J33" s="268"/>
      <c r="K33" s="268"/>
      <c r="O33" s="275">
        <f>AVERAGE(AE23:AE41)</f>
        <v>4.8191194314516066</v>
      </c>
      <c r="P33" s="275"/>
      <c r="Q33" s="275"/>
      <c r="S33" s="238" t="s">
        <v>45</v>
      </c>
      <c r="T33" s="131"/>
      <c r="U33" s="243">
        <f>AVERAGE(Y33:AA36)</f>
        <v>-37.028378173386848</v>
      </c>
      <c r="V33" s="49"/>
      <c r="W33" s="285" t="s">
        <v>147</v>
      </c>
      <c r="X33" s="122">
        <v>2</v>
      </c>
      <c r="Y33" s="123">
        <f t="shared" ref="Y33:AA36" si="24">AI33+$AM33</f>
        <v>-82.208212413040883</v>
      </c>
      <c r="Z33" s="123">
        <f t="shared" si="24"/>
        <v>89.384083401754822</v>
      </c>
      <c r="AA33" s="123">
        <f t="shared" si="24"/>
        <v>238.96948432175265</v>
      </c>
      <c r="AB33" s="239"/>
      <c r="AC33" s="124">
        <f>IFERROR(VLOOKUP(VLOOKUP($S$33,demoMap,2,FALSE)&amp;VLOOKUP($AH33,systemMap,2,FALSE)&amp;VLOOKUP(BC$21,consumptionMap,2,FALSE),rawDataTable,MATCH("gen",rawDataTableRows,FALSE),FALSE)/1000
*IF($AB$6=$B$55,$F$22,1)
*IF($O$6=$B$57,1/12,1),"-")</f>
        <v>2.2030260258064498</v>
      </c>
      <c r="AD33" s="130"/>
      <c r="AE33" s="124">
        <f>(BP33+BH33)*$J$47</f>
        <v>2.7537825322580622</v>
      </c>
      <c r="AF33" s="47"/>
      <c r="AG33" s="260" t="s">
        <v>147</v>
      </c>
      <c r="AH33" s="162">
        <v>2</v>
      </c>
      <c r="AI33" s="163">
        <f>$AU33+AQ33-AY33</f>
        <v>345.53873396194211</v>
      </c>
      <c r="AJ33" s="163">
        <f t="shared" ref="AJ33:AK36" si="25">AV33+AR33-AZ33</f>
        <v>517.13102977673782</v>
      </c>
      <c r="AK33" s="163">
        <f t="shared" si="25"/>
        <v>666.71643069673564</v>
      </c>
      <c r="AL33" s="262" t="s">
        <v>140</v>
      </c>
      <c r="AM33" s="263">
        <f xml:space="preserve"> IF($J$31="Annual",PMT($I$28,$J$30,$H$38),PMT($I$28/4,$J$30*4,$H$38)*4)*
IF($AB$6=$B$55,$F$22,1)
*IF($O$6=$B$57,1/12,1)</f>
        <v>-427.746946374983</v>
      </c>
      <c r="AN33" s="263"/>
      <c r="AO33" s="263"/>
      <c r="AP33" s="144"/>
      <c r="AQ33" s="163">
        <f t="shared" ref="AQ33:AS36" si="26">BG33*$I$34</f>
        <v>97.395187096774194</v>
      </c>
      <c r="AR33" s="163">
        <f t="shared" si="26"/>
        <v>76.499331139784388</v>
      </c>
      <c r="AS33" s="163">
        <f t="shared" si="26"/>
        <v>62.922715784945993</v>
      </c>
      <c r="AT33" s="164"/>
      <c r="AU33" s="163">
        <f t="shared" ref="AU33:AW36" si="27">BC$23*$I$33</f>
        <v>547.5</v>
      </c>
      <c r="AV33" s="163">
        <f t="shared" si="27"/>
        <v>1095</v>
      </c>
      <c r="AW33" s="163">
        <f t="shared" si="27"/>
        <v>1642.5</v>
      </c>
      <c r="AX33" s="164"/>
      <c r="AY33" s="163">
        <f t="shared" ref="AY33:BA36" si="28">BK33*$J$35</f>
        <v>299.35645313483207</v>
      </c>
      <c r="AZ33" s="163">
        <f t="shared" si="28"/>
        <v>654.3683013630465</v>
      </c>
      <c r="BA33" s="163">
        <f t="shared" si="28"/>
        <v>1038.7062850882103</v>
      </c>
      <c r="BB33" s="156"/>
      <c r="BC33" s="167">
        <f t="shared" ref="BC33:BE36" si="29">BC$21*365/1000
*IF($AB$6=$B$55,$F$22,1)
*IF($O$6=$B$57,1/12,1)</f>
        <v>1.825</v>
      </c>
      <c r="BD33" s="167">
        <f t="shared" si="29"/>
        <v>3.65</v>
      </c>
      <c r="BE33" s="167">
        <f t="shared" si="29"/>
        <v>5.4749999999999996</v>
      </c>
      <c r="BF33" s="172"/>
      <c r="BG33" s="167">
        <f t="shared" ref="BG33:BI36" si="30">IFERROR(VLOOKUP(VLOOKUP($S$33,demoMap,2,FALSE)&amp;VLOOKUP($AH33,systemMap,2,FALSE)&amp;VLOOKUP(BG$21,consumptionMap,2,FALSE),rawDataTable,MATCH("export",rawDataTableRows,FALSE),FALSE)/1000
*IF($AB$6=$B$55,$F$22,1)
*IF($O$6=$B$57,1/12,1),"-")</f>
        <v>1.62325311827957</v>
      </c>
      <c r="BH33" s="167">
        <f t="shared" si="30"/>
        <v>1.2749888523297399</v>
      </c>
      <c r="BI33" s="167">
        <f t="shared" si="30"/>
        <v>1.0487119297490999</v>
      </c>
      <c r="BJ33" s="168"/>
      <c r="BK33" s="167">
        <f t="shared" ref="BK33:BM36" si="31">IFERROR(VLOOKUP(VLOOKUP($S$33,demoMap,2,FALSE)&amp;VLOOKUP($AH33,systemMap,2,FALSE)&amp;VLOOKUP(BK$21,consumptionMap,2,FALSE),rawDataTable,MATCH("import",rawDataTableRows,FALSE),FALSE)/1000
*IF($AB$6=$B$55,$F$22,1)
*IF($O$6=$B$57,1/12,1),"-")</f>
        <v>1.2452270924731099</v>
      </c>
      <c r="BL33" s="167">
        <f t="shared" si="31"/>
        <v>2.7219628265232898</v>
      </c>
      <c r="BM33" s="167">
        <f t="shared" si="31"/>
        <v>4.3206859039426497</v>
      </c>
      <c r="BN33" s="168"/>
      <c r="BO33" s="167">
        <f>IFERROR(($AC33-BG33),"-")</f>
        <v>0.57977290752687982</v>
      </c>
      <c r="BP33" s="167">
        <f t="shared" ref="BP33:BQ33" si="32">IFERROR(($AC33-BH33),"-")</f>
        <v>0.92803717347670989</v>
      </c>
      <c r="BQ33" s="167">
        <f t="shared" si="32"/>
        <v>1.1543140960573499</v>
      </c>
    </row>
    <row r="34" spans="2:69" s="1" customFormat="1" ht="30" customHeight="1">
      <c r="B34" s="282"/>
      <c r="C34" s="282"/>
      <c r="D34" s="282"/>
      <c r="E34" s="282"/>
      <c r="F34" s="202" t="s">
        <v>162</v>
      </c>
      <c r="G34" s="100"/>
      <c r="H34" s="100"/>
      <c r="I34" s="268">
        <v>60</v>
      </c>
      <c r="J34" s="268"/>
      <c r="K34" s="268"/>
      <c r="O34" s="275"/>
      <c r="P34" s="275"/>
      <c r="Q34" s="275"/>
      <c r="S34" s="238"/>
      <c r="T34" s="131"/>
      <c r="U34" s="243"/>
      <c r="V34" s="49"/>
      <c r="W34" s="286"/>
      <c r="X34" s="122">
        <v>3</v>
      </c>
      <c r="Y34" s="123">
        <f t="shared" si="24"/>
        <v>-200.06608893898709</v>
      </c>
      <c r="Z34" s="123">
        <f t="shared" si="24"/>
        <v>-10.600833065599659</v>
      </c>
      <c r="AA34" s="123">
        <f t="shared" si="24"/>
        <v>156.42111483863812</v>
      </c>
      <c r="AB34" s="239"/>
      <c r="AC34" s="124">
        <f>IFERROR(VLOOKUP(VLOOKUP($S$33,demoMap,2,FALSE)&amp;VLOOKUP($AH34,systemMap,2,FALSE)&amp;VLOOKUP(BC$21,consumptionMap,2,FALSE),rawDataTable,MATCH("gen",rawDataTableRows,FALSE),FALSE)/1000
*IF($AB$6=$B$55,$F$22,1)
*IF($O$6=$B$57,1/12,1),"-")</f>
        <v>3.3045390387096698</v>
      </c>
      <c r="AD34" s="130"/>
      <c r="AE34" s="124">
        <f>(BP34+BH34)*$J$47</f>
        <v>4.1306737983870869</v>
      </c>
      <c r="AF34" s="47"/>
      <c r="AG34" s="260"/>
      <c r="AH34" s="162">
        <v>3</v>
      </c>
      <c r="AI34" s="163">
        <f>AU34+AQ34-AY34</f>
        <v>419.20934088748089</v>
      </c>
      <c r="AJ34" s="163">
        <f t="shared" si="25"/>
        <v>608.67459676086833</v>
      </c>
      <c r="AK34" s="163">
        <f t="shared" si="25"/>
        <v>775.6965446651061</v>
      </c>
      <c r="AL34" s="262"/>
      <c r="AM34" s="263">
        <f xml:space="preserve"> IF($J$31="Annual",PMT($I$28,$J$30,$H$39),PMT($I$28/4,$J$30*4,$H$39)*4)
*IF($AB$6=$B$55,$F$22,1)
*IF($O$6=$B$57,1/12,1)</f>
        <v>-619.27542982646798</v>
      </c>
      <c r="AN34" s="263"/>
      <c r="AO34" s="263"/>
      <c r="AP34" s="144"/>
      <c r="AQ34" s="163">
        <f t="shared" si="26"/>
        <v>160.9650047096772</v>
      </c>
      <c r="AR34" s="163">
        <f t="shared" si="26"/>
        <v>134.12480741935437</v>
      </c>
      <c r="AS34" s="163">
        <f t="shared" si="26"/>
        <v>114.7489967096772</v>
      </c>
      <c r="AT34" s="164"/>
      <c r="AU34" s="163">
        <f t="shared" si="27"/>
        <v>547.5</v>
      </c>
      <c r="AV34" s="163">
        <f t="shared" si="27"/>
        <v>1095</v>
      </c>
      <c r="AW34" s="163">
        <f t="shared" si="27"/>
        <v>1642.5</v>
      </c>
      <c r="AX34" s="164"/>
      <c r="AY34" s="163">
        <f t="shared" si="28"/>
        <v>289.25566382219637</v>
      </c>
      <c r="AZ34" s="163">
        <f t="shared" si="28"/>
        <v>620.45021065848596</v>
      </c>
      <c r="BA34" s="163">
        <f t="shared" si="28"/>
        <v>981.55245204457106</v>
      </c>
      <c r="BB34" s="156"/>
      <c r="BC34" s="167">
        <f t="shared" si="29"/>
        <v>1.825</v>
      </c>
      <c r="BD34" s="167">
        <f t="shared" si="29"/>
        <v>3.65</v>
      </c>
      <c r="BE34" s="167">
        <f t="shared" si="29"/>
        <v>5.4749999999999996</v>
      </c>
      <c r="BF34" s="172"/>
      <c r="BG34" s="167">
        <f t="shared" si="30"/>
        <v>2.6827500784946201</v>
      </c>
      <c r="BH34" s="167">
        <f t="shared" si="30"/>
        <v>2.2354134569892397</v>
      </c>
      <c r="BI34" s="167">
        <f t="shared" si="30"/>
        <v>1.91248327849462</v>
      </c>
      <c r="BJ34" s="168"/>
      <c r="BK34" s="167">
        <f t="shared" si="31"/>
        <v>1.20321103978494</v>
      </c>
      <c r="BL34" s="167">
        <f t="shared" si="31"/>
        <v>2.5808744182795698</v>
      </c>
      <c r="BM34" s="167">
        <f t="shared" si="31"/>
        <v>4.0829442397849398</v>
      </c>
      <c r="BN34" s="168"/>
      <c r="BO34" s="167">
        <f t="shared" ref="BO34:BO36" si="33">IFERROR(($AC34-BG34),"-")</f>
        <v>0.6217889602150497</v>
      </c>
      <c r="BP34" s="167">
        <f t="shared" ref="BP34:BP36" si="34">IFERROR(($AC34-BH34),"-")</f>
        <v>1.0691255817204302</v>
      </c>
      <c r="BQ34" s="167">
        <f t="shared" ref="BQ34:BQ36" si="35">IFERROR(($AC34-BI34),"-")</f>
        <v>1.3920557602150498</v>
      </c>
    </row>
    <row r="35" spans="2:69" s="1" customFormat="1" ht="30" customHeight="1" thickBot="1">
      <c r="B35" s="284"/>
      <c r="C35" s="284"/>
      <c r="D35" s="284"/>
      <c r="E35" s="284"/>
      <c r="F35" s="202" t="s">
        <v>164</v>
      </c>
      <c r="G35" s="100"/>
      <c r="H35" s="101"/>
      <c r="J35" s="278">
        <f>SUM(energyData!J:J)/SUM(energyData!G:G)*1000*I33/300</f>
        <v>240.40309991994212</v>
      </c>
      <c r="K35" s="278"/>
      <c r="O35" s="276" t="s">
        <v>141</v>
      </c>
      <c r="P35" s="276"/>
      <c r="Q35" s="276"/>
      <c r="S35" s="238"/>
      <c r="T35" s="131"/>
      <c r="U35" s="243"/>
      <c r="V35" s="49"/>
      <c r="W35" s="286"/>
      <c r="X35" s="122">
        <v>4</v>
      </c>
      <c r="Y35" s="123">
        <f t="shared" si="24"/>
        <v>-278.02296998108608</v>
      </c>
      <c r="Z35" s="123">
        <f t="shared" si="24"/>
        <v>-75.036465882057769</v>
      </c>
      <c r="AA35" s="123">
        <f t="shared" si="24"/>
        <v>102.69892359786013</v>
      </c>
      <c r="AB35" s="239"/>
      <c r="AC35" s="124">
        <f>IFERROR(VLOOKUP(VLOOKUP($S$33,demoMap,2,FALSE)&amp;VLOOKUP($AH35,systemMap,2,FALSE)&amp;VLOOKUP(BC$21,consumptionMap,2,FALSE),rawDataTable,MATCH("gen",rawDataTableRows,FALSE),FALSE)/1000
*IF($AB$6=$B$55,$F$22,1)
*IF($O$6=$B$57,1/12,1),"-")</f>
        <v>4.4060520516128996</v>
      </c>
      <c r="AD35" s="130"/>
      <c r="AE35" s="124">
        <f>(BP35+BH35)*$J$47</f>
        <v>5.5075650645161245</v>
      </c>
      <c r="AF35" s="47"/>
      <c r="AG35" s="260"/>
      <c r="AH35" s="162">
        <v>4</v>
      </c>
      <c r="AI35" s="163">
        <f>AU35+AQ35-AY35</f>
        <v>488.09096382485365</v>
      </c>
      <c r="AJ35" s="163">
        <f t="shared" si="25"/>
        <v>691.07746792388195</v>
      </c>
      <c r="AK35" s="163">
        <f t="shared" si="25"/>
        <v>868.81285740379985</v>
      </c>
      <c r="AL35" s="262"/>
      <c r="AM35" s="263">
        <f xml:space="preserve"> IF($J$31="Annual",PMT($I$28,$J$30,$H$40),PMT($I$28/4,$J$30*4,$H$40)*4)
*IF($AB$6=$B$55,$F$22,1)
*IF($O$6=$B$57,1/12,1)</f>
        <v>-766.11393380593972</v>
      </c>
      <c r="AN35" s="263"/>
      <c r="AO35" s="263"/>
      <c r="AP35" s="144"/>
      <c r="AQ35" s="163">
        <f t="shared" si="26"/>
        <v>226.12758341935441</v>
      </c>
      <c r="AR35" s="163">
        <f t="shared" si="26"/>
        <v>194.79037419354839</v>
      </c>
      <c r="AS35" s="163">
        <f t="shared" si="26"/>
        <v>171.85139580645119</v>
      </c>
      <c r="AT35" s="164"/>
      <c r="AU35" s="163">
        <f t="shared" si="27"/>
        <v>547.5</v>
      </c>
      <c r="AV35" s="163">
        <f t="shared" si="27"/>
        <v>1095</v>
      </c>
      <c r="AW35" s="163">
        <f t="shared" si="27"/>
        <v>1642.5</v>
      </c>
      <c r="AX35" s="164"/>
      <c r="AY35" s="163">
        <f t="shared" si="28"/>
        <v>285.53661959450079</v>
      </c>
      <c r="AZ35" s="163">
        <f t="shared" si="28"/>
        <v>598.71290626966641</v>
      </c>
      <c r="BA35" s="163">
        <f t="shared" si="28"/>
        <v>945.53853840265128</v>
      </c>
      <c r="BB35" s="156"/>
      <c r="BC35" s="167">
        <f t="shared" si="29"/>
        <v>1.825</v>
      </c>
      <c r="BD35" s="167">
        <f t="shared" si="29"/>
        <v>3.65</v>
      </c>
      <c r="BE35" s="167">
        <f t="shared" si="29"/>
        <v>5.4749999999999996</v>
      </c>
      <c r="BF35" s="172"/>
      <c r="BG35" s="167">
        <f t="shared" si="30"/>
        <v>3.7687930569892401</v>
      </c>
      <c r="BH35" s="167">
        <f t="shared" si="30"/>
        <v>3.2465062365591399</v>
      </c>
      <c r="BI35" s="167">
        <f t="shared" si="30"/>
        <v>2.86418993010752</v>
      </c>
      <c r="BJ35" s="168"/>
      <c r="BK35" s="167">
        <f t="shared" si="31"/>
        <v>1.18774100537634</v>
      </c>
      <c r="BL35" s="167">
        <f t="shared" si="31"/>
        <v>2.4904541849462296</v>
      </c>
      <c r="BM35" s="167">
        <f t="shared" si="31"/>
        <v>3.93313787849462</v>
      </c>
      <c r="BN35" s="168"/>
      <c r="BO35" s="167">
        <f t="shared" si="33"/>
        <v>0.63725899462365954</v>
      </c>
      <c r="BP35" s="167">
        <f t="shared" si="34"/>
        <v>1.1595458150537596</v>
      </c>
      <c r="BQ35" s="167">
        <f t="shared" si="35"/>
        <v>1.5418621215053796</v>
      </c>
    </row>
    <row r="36" spans="2:69" s="1" customFormat="1" ht="30" customHeight="1">
      <c r="B36" s="96"/>
      <c r="C36" s="96"/>
      <c r="D36" s="96"/>
      <c r="E36" s="96"/>
      <c r="F36" s="63"/>
      <c r="H36" s="55"/>
      <c r="J36" s="64"/>
      <c r="K36" s="64"/>
      <c r="M36" s="54"/>
      <c r="O36" s="92"/>
      <c r="P36" s="92"/>
      <c r="Q36" s="92"/>
      <c r="S36" s="238"/>
      <c r="T36" s="131"/>
      <c r="U36" s="243"/>
      <c r="V36" s="49"/>
      <c r="W36" s="286"/>
      <c r="X36" s="122">
        <v>5</v>
      </c>
      <c r="Y36" s="123">
        <f t="shared" si="24"/>
        <v>-332.6902170198141</v>
      </c>
      <c r="Z36" s="123">
        <f t="shared" si="24"/>
        <v>-120.9634762241709</v>
      </c>
      <c r="AA36" s="123">
        <f t="shared" si="24"/>
        <v>67.774119284108565</v>
      </c>
      <c r="AB36" s="239"/>
      <c r="AC36" s="124">
        <f>IFERROR(VLOOKUP(VLOOKUP($S$33,demoMap,2,FALSE)&amp;VLOOKUP($AH36,systemMap,2,FALSE)&amp;VLOOKUP(BC$21,consumptionMap,2,FALSE),rawDataTable,MATCH("gen",rawDataTableRows,FALSE),FALSE)/1000
*IF($AB$6=$B$55,$F$22,1)
*IF($O$6=$B$57,1/12,1),"-")</f>
        <v>5.50756506451612</v>
      </c>
      <c r="AD36" s="130"/>
      <c r="AE36" s="124">
        <f>(BP36+BH36)*$J$47</f>
        <v>6.8844563306451505</v>
      </c>
      <c r="AF36" s="47"/>
      <c r="AG36" s="260"/>
      <c r="AH36" s="162">
        <v>5</v>
      </c>
      <c r="AI36" s="163">
        <f>AU36+AQ36-AY36</f>
        <v>554.7250896387327</v>
      </c>
      <c r="AJ36" s="163">
        <f t="shared" si="25"/>
        <v>766.45183043437589</v>
      </c>
      <c r="AK36" s="163">
        <f t="shared" si="25"/>
        <v>955.18942594265536</v>
      </c>
      <c r="AL36" s="262"/>
      <c r="AM36" s="263">
        <f xml:space="preserve"> IF($J$31="Annual",PMT($I$28,$J$30,$H$41),PMT($I$28/4,$J$30*4,$H$41)*4)
*IF($AB$6=$B$55,$F$22,1)
*IF($O$6=$B$57,1/12,1)</f>
        <v>-887.4153066585468</v>
      </c>
      <c r="AN36" s="263"/>
      <c r="AO36" s="263"/>
      <c r="AP36" s="144"/>
      <c r="AQ36" s="163">
        <f t="shared" si="26"/>
        <v>292.0376538709674</v>
      </c>
      <c r="AR36" s="163">
        <f t="shared" si="26"/>
        <v>257.79354225806401</v>
      </c>
      <c r="AS36" s="163">
        <f t="shared" si="26"/>
        <v>231.19535645161261</v>
      </c>
      <c r="AT36" s="164"/>
      <c r="AU36" s="163">
        <f t="shared" si="27"/>
        <v>547.5</v>
      </c>
      <c r="AV36" s="163">
        <f t="shared" si="27"/>
        <v>1095</v>
      </c>
      <c r="AW36" s="163">
        <f t="shared" si="27"/>
        <v>1642.5</v>
      </c>
      <c r="AX36" s="164"/>
      <c r="AY36" s="163">
        <f t="shared" si="28"/>
        <v>284.81256423223482</v>
      </c>
      <c r="AZ36" s="163">
        <f t="shared" si="28"/>
        <v>586.34171182368812</v>
      </c>
      <c r="BA36" s="163">
        <f t="shared" si="28"/>
        <v>918.50593050895714</v>
      </c>
      <c r="BB36" s="156"/>
      <c r="BC36" s="167">
        <f t="shared" si="29"/>
        <v>1.825</v>
      </c>
      <c r="BD36" s="167">
        <f t="shared" si="29"/>
        <v>3.65</v>
      </c>
      <c r="BE36" s="167">
        <f t="shared" si="29"/>
        <v>5.4749999999999996</v>
      </c>
      <c r="BF36" s="172"/>
      <c r="BG36" s="167">
        <f t="shared" si="30"/>
        <v>4.8672942311827905</v>
      </c>
      <c r="BH36" s="167">
        <f t="shared" si="30"/>
        <v>4.2965590376343998</v>
      </c>
      <c r="BI36" s="167">
        <f t="shared" si="30"/>
        <v>3.8532559408602101</v>
      </c>
      <c r="BJ36" s="168"/>
      <c r="BK36" s="167">
        <f t="shared" si="31"/>
        <v>1.1847291666666599</v>
      </c>
      <c r="BL36" s="167">
        <f t="shared" si="31"/>
        <v>2.4389939731182699</v>
      </c>
      <c r="BM36" s="167">
        <f t="shared" si="31"/>
        <v>3.8206908763440803</v>
      </c>
      <c r="BN36" s="168"/>
      <c r="BO36" s="167">
        <f t="shared" si="33"/>
        <v>0.64027083333332957</v>
      </c>
      <c r="BP36" s="167">
        <f t="shared" si="34"/>
        <v>1.2110060268817202</v>
      </c>
      <c r="BQ36" s="167">
        <f t="shared" si="35"/>
        <v>1.65430912365591</v>
      </c>
    </row>
    <row r="37" spans="2:69" s="1" customFormat="1" ht="30" customHeight="1">
      <c r="B37" s="282" t="s">
        <v>171</v>
      </c>
      <c r="C37" s="282"/>
      <c r="D37" s="282"/>
      <c r="E37" s="282"/>
      <c r="F37" s="267" t="s">
        <v>180</v>
      </c>
      <c r="G37" s="267"/>
      <c r="H37" s="267" t="s">
        <v>163</v>
      </c>
      <c r="I37" s="267"/>
      <c r="J37" s="267" t="s">
        <v>181</v>
      </c>
      <c r="K37" s="267"/>
      <c r="M37" s="56"/>
      <c r="O37" s="93"/>
      <c r="P37" s="93"/>
      <c r="Q37" s="93"/>
      <c r="S37" s="132"/>
      <c r="T37" s="131"/>
      <c r="U37" s="133"/>
      <c r="V37" s="49"/>
      <c r="W37" s="126"/>
      <c r="X37" s="127"/>
      <c r="Y37" s="123"/>
      <c r="Z37" s="123"/>
      <c r="AA37" s="123"/>
      <c r="AB37" s="128"/>
      <c r="AC37" s="129"/>
      <c r="AD37" s="130"/>
      <c r="AE37" s="129"/>
      <c r="AF37" s="47"/>
      <c r="AG37" s="169"/>
      <c r="AH37" s="170"/>
      <c r="AI37" s="163"/>
      <c r="AJ37" s="163"/>
      <c r="AK37" s="163"/>
      <c r="AL37" s="171"/>
      <c r="AM37" s="144"/>
      <c r="AN37" s="144"/>
      <c r="AO37" s="144"/>
      <c r="AP37" s="144"/>
      <c r="AQ37" s="163"/>
      <c r="AR37" s="163"/>
      <c r="AS37" s="163"/>
      <c r="AT37" s="164"/>
      <c r="AU37" s="163"/>
      <c r="AV37" s="163"/>
      <c r="AW37" s="163"/>
      <c r="AX37" s="164"/>
      <c r="AY37" s="163"/>
      <c r="AZ37" s="163"/>
      <c r="BA37" s="163"/>
      <c r="BB37" s="156"/>
      <c r="BC37" s="167"/>
      <c r="BD37" s="167"/>
      <c r="BE37" s="167"/>
      <c r="BF37" s="166"/>
      <c r="BG37" s="167"/>
      <c r="BH37" s="167"/>
      <c r="BI37" s="167"/>
      <c r="BJ37" s="168"/>
      <c r="BK37" s="167"/>
      <c r="BL37" s="167"/>
      <c r="BM37" s="167"/>
      <c r="BN37" s="168"/>
      <c r="BO37" s="167"/>
      <c r="BP37" s="167"/>
      <c r="BQ37" s="167"/>
    </row>
    <row r="38" spans="2:69" s="1" customFormat="1" ht="30" customHeight="1">
      <c r="B38" s="282"/>
      <c r="C38" s="282"/>
      <c r="D38" s="282"/>
      <c r="E38" s="282"/>
      <c r="F38" s="289">
        <v>2</v>
      </c>
      <c r="G38" s="289"/>
      <c r="H38" s="266">
        <v>3350</v>
      </c>
      <c r="I38" s="266"/>
      <c r="J38" s="269">
        <f>$F$22*H38</f>
        <v>3350000</v>
      </c>
      <c r="K38" s="269"/>
      <c r="L38" s="54"/>
      <c r="M38" s="62"/>
      <c r="O38" s="275">
        <f>AVERAGE(AC23:AC41)</f>
        <v>3.8552955451612854</v>
      </c>
      <c r="P38" s="275"/>
      <c r="Q38" s="275"/>
      <c r="S38" s="238" t="s">
        <v>48</v>
      </c>
      <c r="T38" s="131"/>
      <c r="U38" s="243">
        <f>AVERAGE(Y38:AA41)</f>
        <v>-92.230560492421617</v>
      </c>
      <c r="V38" s="49"/>
      <c r="W38" s="285" t="s">
        <v>147</v>
      </c>
      <c r="X38" s="122">
        <v>2</v>
      </c>
      <c r="Y38" s="123">
        <f t="shared" ref="Y38:AA41" si="36">AI38+$AM38</f>
        <v>-116.3026392706962</v>
      </c>
      <c r="Z38" s="123">
        <f t="shared" si="36"/>
        <v>44.590682456442153</v>
      </c>
      <c r="AA38" s="123">
        <f t="shared" si="36"/>
        <v>204.42407777700333</v>
      </c>
      <c r="AB38" s="239"/>
      <c r="AC38" s="124">
        <f>IFERROR(VLOOKUP(VLOOKUP($S$38,demoMap,2,FALSE)&amp;VLOOKUP($AH38,systemMap,2,FALSE)&amp;VLOOKUP(BC$21,consumptionMap,2,FALSE),rawDataTable,MATCH("gen",rawDataTableRows,FALSE),FALSE)/1000
*IF($AB$6=$B$55,$F$22,1)
*IF($O$6=$B$57,1/12,1),"-")</f>
        <v>2.2030260258064498</v>
      </c>
      <c r="AD38" s="125"/>
      <c r="AE38" s="124">
        <f>(BP38+BH38)*$J$47</f>
        <v>2.7537825322580622</v>
      </c>
      <c r="AF38" s="47"/>
      <c r="AG38" s="260" t="s">
        <v>147</v>
      </c>
      <c r="AH38" s="162">
        <v>2</v>
      </c>
      <c r="AI38" s="163">
        <f>$AU38+AQ38-AY38</f>
        <v>311.44430710428679</v>
      </c>
      <c r="AJ38" s="163">
        <f t="shared" ref="AJ38:AK41" si="37">AV38+AR38-AZ38</f>
        <v>472.33762883142515</v>
      </c>
      <c r="AK38" s="163">
        <f t="shared" si="37"/>
        <v>632.17102415198633</v>
      </c>
      <c r="AL38" s="262" t="s">
        <v>140</v>
      </c>
      <c r="AM38" s="263">
        <f xml:space="preserve"> IF($J$31="Annual",PMT($I$28,$J$30,$H$38),PMT($I$28/4,$J$30*4,$H$38)*4)*
IF($AB$6=$B$55,$F$22,1)
*IF($O$6=$B$57,1/12,1)</f>
        <v>-427.746946374983</v>
      </c>
      <c r="AN38" s="263"/>
      <c r="AO38" s="263"/>
      <c r="AP38" s="144"/>
      <c r="AQ38" s="163">
        <f t="shared" ref="AQ38:AS41" si="38">BG38*$I$34</f>
        <v>108.7346020645158</v>
      </c>
      <c r="AR38" s="163">
        <f t="shared" si="38"/>
        <v>91.397102064515991</v>
      </c>
      <c r="AS38" s="163">
        <f t="shared" si="38"/>
        <v>74.412121419354591</v>
      </c>
      <c r="AT38" s="164"/>
      <c r="AU38" s="163">
        <f t="shared" ref="AU38:AW41" si="39">BC$23*$I$33</f>
        <v>547.5</v>
      </c>
      <c r="AV38" s="163">
        <f t="shared" si="39"/>
        <v>1095</v>
      </c>
      <c r="AW38" s="163">
        <f t="shared" si="39"/>
        <v>1642.5</v>
      </c>
      <c r="AX38" s="164"/>
      <c r="AY38" s="163">
        <f t="shared" ref="AY38:BA41" si="40">BK38*$J$35</f>
        <v>344.79029496022901</v>
      </c>
      <c r="AZ38" s="163">
        <f t="shared" si="40"/>
        <v>714.0594732330909</v>
      </c>
      <c r="BA38" s="163">
        <f t="shared" si="40"/>
        <v>1084.7410972673683</v>
      </c>
      <c r="BB38" s="156"/>
      <c r="BC38" s="167">
        <f t="shared" ref="BC38:BE41" si="41">BC$21*365/1000
*IF($AB$6=$B$55,$F$22,1)
*IF($O$6=$B$57,1/12,1)</f>
        <v>1.825</v>
      </c>
      <c r="BD38" s="167">
        <f t="shared" si="41"/>
        <v>3.65</v>
      </c>
      <c r="BE38" s="167">
        <f t="shared" si="41"/>
        <v>5.4749999999999996</v>
      </c>
      <c r="BF38" s="172"/>
      <c r="BG38" s="167">
        <f t="shared" ref="BG38:BI41" si="42">IFERROR(VLOOKUP(VLOOKUP($S$38,demoMap,2,FALSE)&amp;VLOOKUP($AH38,systemMap,2,FALSE)&amp;VLOOKUP(BG$21,consumptionMap,2,FALSE),rawDataTable,MATCH("export",rawDataTableRows,FALSE),FALSE)/1000
*IF($AB$6=$B$55,$F$22,1)
*IF($O$6=$B$57,1/12,1),"-")</f>
        <v>1.8122433677419298</v>
      </c>
      <c r="BH38" s="167">
        <f t="shared" si="42"/>
        <v>1.5232850344086</v>
      </c>
      <c r="BI38" s="167">
        <f t="shared" si="42"/>
        <v>1.2402020236559099</v>
      </c>
      <c r="BJ38" s="168"/>
      <c r="BK38" s="167">
        <f t="shared" ref="BK38:BM41" si="43">IFERROR(VLOOKUP(VLOOKUP($S$38,demoMap,2,FALSE)&amp;VLOOKUP($AH38,systemMap,2,FALSE)&amp;VLOOKUP(BK$21,consumptionMap,2,FALSE),rawDataTable,MATCH("import",rawDataTableRows,FALSE),FALSE)/1000
*IF($AB$6=$B$55,$F$22,1)
*IF($O$6=$B$57,1/12,1),"-")</f>
        <v>1.43421734193548</v>
      </c>
      <c r="BL38" s="167">
        <f t="shared" si="43"/>
        <v>2.9702590086021501</v>
      </c>
      <c r="BM38" s="167">
        <f t="shared" si="43"/>
        <v>4.51217599784946</v>
      </c>
      <c r="BN38" s="168"/>
      <c r="BO38" s="167">
        <f>IFERROR(($AC38-BG38),"-")</f>
        <v>0.39078265806451995</v>
      </c>
      <c r="BP38" s="167">
        <f t="shared" ref="BP38:BQ38" si="44">IFERROR(($AC38-BH38),"-")</f>
        <v>0.67974099139784983</v>
      </c>
      <c r="BQ38" s="167">
        <f t="shared" si="44"/>
        <v>0.96282400215053987</v>
      </c>
    </row>
    <row r="39" spans="2:69" s="1" customFormat="1" ht="30" customHeight="1">
      <c r="B39" s="282"/>
      <c r="C39" s="282"/>
      <c r="D39" s="282"/>
      <c r="E39" s="282"/>
      <c r="F39" s="289">
        <v>3</v>
      </c>
      <c r="G39" s="289"/>
      <c r="H39" s="266">
        <v>4850</v>
      </c>
      <c r="I39" s="266"/>
      <c r="J39" s="269">
        <f>$F$22*H39</f>
        <v>4850000</v>
      </c>
      <c r="K39" s="269"/>
      <c r="M39" s="62"/>
      <c r="O39" s="275"/>
      <c r="P39" s="275"/>
      <c r="Q39" s="275"/>
      <c r="S39" s="238"/>
      <c r="T39" s="131"/>
      <c r="U39" s="243"/>
      <c r="V39" s="49"/>
      <c r="W39" s="286"/>
      <c r="X39" s="122">
        <v>3</v>
      </c>
      <c r="Y39" s="123">
        <f t="shared" si="36"/>
        <v>-235.45842648096027</v>
      </c>
      <c r="Z39" s="123">
        <f t="shared" si="36"/>
        <v>-71.662308306469754</v>
      </c>
      <c r="AA39" s="123">
        <f t="shared" si="36"/>
        <v>89.231013420671047</v>
      </c>
      <c r="AB39" s="239"/>
      <c r="AC39" s="124">
        <f>IFERROR(VLOOKUP(VLOOKUP($S$38,demoMap,2,FALSE)&amp;VLOOKUP($AH39,systemMap,2,FALSE)&amp;VLOOKUP(BC$21,consumptionMap,2,FALSE),rawDataTable,MATCH("gen",rawDataTableRows,FALSE),FALSE)/1000
*IF($AB$6=$B$55,$F$22,1)
*IF($O$6=$B$57,1/12,1),"-")</f>
        <v>3.3045390387096698</v>
      </c>
      <c r="AD39" s="125"/>
      <c r="AE39" s="124">
        <f>(BP39+BH39)*$J$47</f>
        <v>4.1306737983870869</v>
      </c>
      <c r="AF39" s="47"/>
      <c r="AG39" s="260"/>
      <c r="AH39" s="162">
        <v>3</v>
      </c>
      <c r="AI39" s="163">
        <f>AU39+AQ39-AY39</f>
        <v>383.81700334550771</v>
      </c>
      <c r="AJ39" s="163">
        <f t="shared" si="37"/>
        <v>547.61312151999823</v>
      </c>
      <c r="AK39" s="163">
        <f t="shared" si="37"/>
        <v>708.50644324713903</v>
      </c>
      <c r="AL39" s="262"/>
      <c r="AM39" s="263">
        <f xml:space="preserve"> IF($J$31="Annual",PMT($I$28,$J$30,$H$39),PMT($I$28/4,$J$30*4,$H$39)*4)
*IF($AB$6=$B$55,$F$22,1)
*IF($O$6=$B$57,1/12,1)</f>
        <v>-619.27542982646798</v>
      </c>
      <c r="AN39" s="263"/>
      <c r="AO39" s="263"/>
      <c r="AP39" s="144"/>
      <c r="AQ39" s="163">
        <f t="shared" si="38"/>
        <v>172.73608987096739</v>
      </c>
      <c r="AR39" s="163">
        <f t="shared" si="38"/>
        <v>154.43315309677379</v>
      </c>
      <c r="AS39" s="163">
        <f t="shared" si="38"/>
        <v>137.09565309677399</v>
      </c>
      <c r="AT39" s="164"/>
      <c r="AU39" s="163">
        <f t="shared" si="39"/>
        <v>547.5</v>
      </c>
      <c r="AV39" s="163">
        <f t="shared" si="39"/>
        <v>1095</v>
      </c>
      <c r="AW39" s="163">
        <f t="shared" si="39"/>
        <v>1642.5</v>
      </c>
      <c r="AX39" s="164"/>
      <c r="AY39" s="163">
        <f t="shared" si="40"/>
        <v>336.41908652545965</v>
      </c>
      <c r="AZ39" s="163">
        <f t="shared" si="40"/>
        <v>701.82003157677559</v>
      </c>
      <c r="BA39" s="163">
        <f t="shared" si="40"/>
        <v>1071.0892098496349</v>
      </c>
      <c r="BB39" s="156"/>
      <c r="BC39" s="167">
        <f t="shared" si="41"/>
        <v>1.825</v>
      </c>
      <c r="BD39" s="167">
        <f t="shared" si="41"/>
        <v>3.65</v>
      </c>
      <c r="BE39" s="167">
        <f t="shared" si="41"/>
        <v>5.4749999999999996</v>
      </c>
      <c r="BF39" s="172"/>
      <c r="BG39" s="167">
        <f t="shared" si="42"/>
        <v>2.8789348311827898</v>
      </c>
      <c r="BH39" s="167">
        <f t="shared" si="42"/>
        <v>2.5738858849462298</v>
      </c>
      <c r="BI39" s="167">
        <f t="shared" si="42"/>
        <v>2.2849275516129</v>
      </c>
      <c r="BJ39" s="168"/>
      <c r="BK39" s="167">
        <f t="shared" si="43"/>
        <v>1.39939579247311</v>
      </c>
      <c r="BL39" s="167">
        <f t="shared" si="43"/>
        <v>2.9193468462365599</v>
      </c>
      <c r="BM39" s="167">
        <f t="shared" si="43"/>
        <v>4.4553885129032196</v>
      </c>
      <c r="BN39" s="168"/>
      <c r="BO39" s="167">
        <f t="shared" ref="BO39:BO41" si="45">IFERROR(($AC39-BG39),"-")</f>
        <v>0.42560420752688</v>
      </c>
      <c r="BP39" s="167">
        <f t="shared" ref="BP39:BP41" si="46">IFERROR(($AC39-BH39),"-")</f>
        <v>0.73065315376343998</v>
      </c>
      <c r="BQ39" s="167">
        <f t="shared" ref="BQ39:BQ41" si="47">IFERROR(($AC39-BI39),"-")</f>
        <v>1.0196114870967699</v>
      </c>
    </row>
    <row r="40" spans="2:69" s="1" customFormat="1" ht="30" customHeight="1">
      <c r="B40" s="282"/>
      <c r="C40" s="282"/>
      <c r="D40" s="282"/>
      <c r="E40" s="282"/>
      <c r="F40" s="289">
        <v>4</v>
      </c>
      <c r="G40" s="289"/>
      <c r="H40" s="266">
        <v>6000</v>
      </c>
      <c r="I40" s="266"/>
      <c r="J40" s="269">
        <f>$F$22*H40</f>
        <v>6000000</v>
      </c>
      <c r="K40" s="269"/>
      <c r="M40" s="62"/>
      <c r="O40" s="294" t="s">
        <v>142</v>
      </c>
      <c r="P40" s="294"/>
      <c r="Q40" s="294"/>
      <c r="S40" s="238"/>
      <c r="T40" s="131"/>
      <c r="U40" s="243"/>
      <c r="V40" s="49"/>
      <c r="W40" s="286"/>
      <c r="X40" s="122">
        <v>4</v>
      </c>
      <c r="Y40" s="123">
        <f t="shared" si="36"/>
        <v>-311.76424380395497</v>
      </c>
      <c r="Z40" s="123">
        <f t="shared" si="36"/>
        <v>-143.22531959736546</v>
      </c>
      <c r="AA40" s="123">
        <f t="shared" si="36"/>
        <v>17.668002129772049</v>
      </c>
      <c r="AB40" s="239"/>
      <c r="AC40" s="124">
        <f>IFERROR(VLOOKUP(VLOOKUP($S$38,demoMap,2,FALSE)&amp;VLOOKUP($AH40,systemMap,2,FALSE)&amp;VLOOKUP(BC$21,consumptionMap,2,FALSE),rawDataTable,MATCH("gen",rawDataTableRows,FALSE),FALSE)/1000
*IF($AB$6=$B$55,$F$22,1)
*IF($O$6=$B$57,1/12,1),"-")</f>
        <v>4.4060520516128996</v>
      </c>
      <c r="AD40" s="125"/>
      <c r="AE40" s="124">
        <f>(BP40+BH40)*$J$47</f>
        <v>5.5075650645161245</v>
      </c>
      <c r="AF40" s="47"/>
      <c r="AG40" s="260"/>
      <c r="AH40" s="162">
        <v>4</v>
      </c>
      <c r="AI40" s="163">
        <f>AU40+AQ40-AY40</f>
        <v>454.34969000198475</v>
      </c>
      <c r="AJ40" s="163">
        <f t="shared" si="37"/>
        <v>622.88861420857427</v>
      </c>
      <c r="AK40" s="163">
        <f t="shared" si="37"/>
        <v>783.78193593571177</v>
      </c>
      <c r="AL40" s="262"/>
      <c r="AM40" s="263">
        <f xml:space="preserve"> IF($J$31="Annual",PMT($I$28,$J$30,$H$40),PMT($I$28/4,$J$30*4,$H$40)*4)
*IF($AB$6=$B$55,$F$22,1)
*IF($O$6=$B$57,1/12,1)</f>
        <v>-766.11393380593972</v>
      </c>
      <c r="AN40" s="263"/>
      <c r="AO40" s="263"/>
      <c r="AP40" s="144"/>
      <c r="AQ40" s="163">
        <f t="shared" si="38"/>
        <v>237.34954374193501</v>
      </c>
      <c r="AR40" s="163">
        <f t="shared" si="38"/>
        <v>217.46920412903219</v>
      </c>
      <c r="AS40" s="163">
        <f t="shared" si="38"/>
        <v>200.13170412903179</v>
      </c>
      <c r="AT40" s="164"/>
      <c r="AU40" s="163">
        <f t="shared" si="39"/>
        <v>547.5</v>
      </c>
      <c r="AV40" s="163">
        <f t="shared" si="39"/>
        <v>1095</v>
      </c>
      <c r="AW40" s="163">
        <f t="shared" si="39"/>
        <v>1642.5</v>
      </c>
      <c r="AX40" s="164"/>
      <c r="AY40" s="163">
        <f t="shared" si="40"/>
        <v>330.49985373995025</v>
      </c>
      <c r="AZ40" s="163">
        <f t="shared" si="40"/>
        <v>689.58058992045801</v>
      </c>
      <c r="BA40" s="163">
        <f t="shared" si="40"/>
        <v>1058.84976819332</v>
      </c>
      <c r="BB40" s="156"/>
      <c r="BC40" s="167">
        <f t="shared" si="41"/>
        <v>1.825</v>
      </c>
      <c r="BD40" s="167">
        <f t="shared" si="41"/>
        <v>3.65</v>
      </c>
      <c r="BE40" s="167">
        <f t="shared" si="41"/>
        <v>5.4749999999999996</v>
      </c>
      <c r="BF40" s="172"/>
      <c r="BG40" s="167">
        <f t="shared" si="42"/>
        <v>3.95582572903225</v>
      </c>
      <c r="BH40" s="167">
        <f t="shared" si="42"/>
        <v>3.6244867354838699</v>
      </c>
      <c r="BI40" s="167">
        <f t="shared" si="42"/>
        <v>3.3355284021505298</v>
      </c>
      <c r="BJ40" s="168"/>
      <c r="BK40" s="167">
        <f t="shared" si="43"/>
        <v>1.37477367741935</v>
      </c>
      <c r="BL40" s="167">
        <f t="shared" si="43"/>
        <v>2.86843468387096</v>
      </c>
      <c r="BM40" s="167">
        <f t="shared" si="43"/>
        <v>4.4044763505376308</v>
      </c>
      <c r="BN40" s="168"/>
      <c r="BO40" s="167">
        <f t="shared" si="45"/>
        <v>0.45022632258064954</v>
      </c>
      <c r="BP40" s="167">
        <f t="shared" si="46"/>
        <v>0.78156531612902969</v>
      </c>
      <c r="BQ40" s="167">
        <f t="shared" si="47"/>
        <v>1.0705236494623698</v>
      </c>
    </row>
    <row r="41" spans="2:69" s="1" customFormat="1" ht="30" customHeight="1" thickBot="1">
      <c r="B41" s="283"/>
      <c r="C41" s="283"/>
      <c r="D41" s="283"/>
      <c r="E41" s="283"/>
      <c r="F41" s="289">
        <v>5</v>
      </c>
      <c r="G41" s="289"/>
      <c r="H41" s="266">
        <v>6950</v>
      </c>
      <c r="I41" s="266"/>
      <c r="J41" s="269">
        <f>$F$22*H41</f>
        <v>6950000</v>
      </c>
      <c r="K41" s="269"/>
      <c r="M41" s="62"/>
      <c r="O41" s="294"/>
      <c r="P41" s="294"/>
      <c r="Q41" s="294"/>
      <c r="S41" s="238"/>
      <c r="T41" s="131"/>
      <c r="U41" s="243"/>
      <c r="V41" s="49"/>
      <c r="W41" s="286"/>
      <c r="X41" s="122">
        <v>5</v>
      </c>
      <c r="Y41" s="123">
        <f t="shared" si="36"/>
        <v>-364.56412283686655</v>
      </c>
      <c r="Z41" s="123">
        <f t="shared" si="36"/>
        <v>-191.34556336237335</v>
      </c>
      <c r="AA41" s="123">
        <f t="shared" si="36"/>
        <v>-28.357878034261375</v>
      </c>
      <c r="AB41" s="239"/>
      <c r="AC41" s="124">
        <f>IFERROR(VLOOKUP(VLOOKUP($S$38,demoMap,2,FALSE)&amp;VLOOKUP($AH41,systemMap,2,FALSE)&amp;VLOOKUP(BC$21,consumptionMap,2,FALSE),rawDataTable,MATCH("gen",rawDataTableRows,FALSE),FALSE)/1000
*IF($AB$6=$B$55,$F$22,1)
*IF($O$6=$B$57,1/12,1),"-")</f>
        <v>5.50756506451612</v>
      </c>
      <c r="AD41" s="125"/>
      <c r="AE41" s="124">
        <f>(BP41+BH41)*$J$47</f>
        <v>6.8844563306451505</v>
      </c>
      <c r="AF41" s="47"/>
      <c r="AG41" s="260"/>
      <c r="AH41" s="162">
        <v>5</v>
      </c>
      <c r="AI41" s="163">
        <f>AU41+AQ41-AY41</f>
        <v>522.85118382168025</v>
      </c>
      <c r="AJ41" s="163">
        <f t="shared" si="37"/>
        <v>696.06974329617344</v>
      </c>
      <c r="AK41" s="163">
        <f t="shared" si="37"/>
        <v>859.05742862428542</v>
      </c>
      <c r="AL41" s="262"/>
      <c r="AM41" s="263">
        <f xml:space="preserve"> IF($J$31="Annual",PMT($I$28,$J$30,$H$41),PMT($I$28/4,$J$30*4,$H$41)*4)
*IF($AB$6=$B$55,$F$22,1)
*IF($O$6=$B$57,1/12,1)</f>
        <v>-887.4153066585468</v>
      </c>
      <c r="AN41" s="263"/>
      <c r="AO41" s="263"/>
      <c r="AP41" s="144"/>
      <c r="AQ41" s="163">
        <f t="shared" si="38"/>
        <v>302.63854903225803</v>
      </c>
      <c r="AR41" s="163">
        <f t="shared" si="38"/>
        <v>281.20181645161256</v>
      </c>
      <c r="AS41" s="163">
        <f t="shared" si="38"/>
        <v>263.16775516129019</v>
      </c>
      <c r="AT41" s="164"/>
      <c r="AU41" s="163">
        <f t="shared" si="39"/>
        <v>547.5</v>
      </c>
      <c r="AV41" s="163">
        <f t="shared" si="39"/>
        <v>1095</v>
      </c>
      <c r="AW41" s="163">
        <f t="shared" si="39"/>
        <v>1642.5</v>
      </c>
      <c r="AX41" s="164"/>
      <c r="AY41" s="163">
        <f t="shared" si="40"/>
        <v>327.28736521057778</v>
      </c>
      <c r="AZ41" s="163">
        <f t="shared" si="40"/>
        <v>680.13207315543912</v>
      </c>
      <c r="BA41" s="163">
        <f t="shared" si="40"/>
        <v>1046.6103265370048</v>
      </c>
      <c r="BB41" s="156"/>
      <c r="BC41" s="167">
        <f t="shared" si="41"/>
        <v>1.825</v>
      </c>
      <c r="BD41" s="167">
        <f t="shared" si="41"/>
        <v>3.65</v>
      </c>
      <c r="BE41" s="167">
        <f t="shared" si="41"/>
        <v>5.4749999999999996</v>
      </c>
      <c r="BF41" s="172"/>
      <c r="BG41" s="167">
        <f t="shared" si="42"/>
        <v>5.0439758172043003</v>
      </c>
      <c r="BH41" s="167">
        <f t="shared" si="42"/>
        <v>4.6866969408602097</v>
      </c>
      <c r="BI41" s="167">
        <f t="shared" si="42"/>
        <v>4.3861292526881694</v>
      </c>
      <c r="BJ41" s="168"/>
      <c r="BK41" s="167">
        <f t="shared" si="43"/>
        <v>1.36141075268817</v>
      </c>
      <c r="BL41" s="167">
        <f t="shared" si="43"/>
        <v>2.8291318763440798</v>
      </c>
      <c r="BM41" s="167">
        <f t="shared" si="43"/>
        <v>4.3535641881720402</v>
      </c>
      <c r="BN41" s="168"/>
      <c r="BO41" s="167">
        <f t="shared" si="45"/>
        <v>0.46358924731181972</v>
      </c>
      <c r="BP41" s="167">
        <f t="shared" si="46"/>
        <v>0.82086812365591033</v>
      </c>
      <c r="BQ41" s="167">
        <f t="shared" si="47"/>
        <v>1.1214358118279506</v>
      </c>
    </row>
    <row r="42" spans="2:69" s="1" customFormat="1" ht="18.95" customHeight="1"/>
    <row r="43" spans="2:69" s="1" customFormat="1" ht="12" customHeight="1">
      <c r="B43" s="188"/>
      <c r="C43" s="188"/>
      <c r="D43" s="188"/>
      <c r="E43" s="188"/>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I43" s="188"/>
      <c r="AJ43" s="188"/>
      <c r="AK43" s="188"/>
      <c r="AL43" s="188"/>
      <c r="AM43" s="188"/>
      <c r="AN43" s="188"/>
      <c r="AO43" s="188"/>
      <c r="AP43" s="188"/>
      <c r="AQ43" s="188"/>
      <c r="AR43" s="188"/>
      <c r="AS43" s="188"/>
      <c r="AT43" s="188"/>
      <c r="AU43" s="188"/>
      <c r="AV43" s="188"/>
      <c r="AW43" s="188"/>
      <c r="AX43" s="188"/>
      <c r="AY43" s="188"/>
      <c r="AZ43" s="188"/>
      <c r="BA43" s="188"/>
      <c r="BB43" s="188"/>
      <c r="BC43" s="188"/>
      <c r="BD43" s="188"/>
      <c r="BE43" s="188"/>
      <c r="BF43" s="188"/>
      <c r="BG43" s="188"/>
      <c r="BH43" s="188"/>
      <c r="BI43" s="188"/>
      <c r="BJ43" s="188"/>
      <c r="BK43" s="188"/>
      <c r="BL43" s="188"/>
      <c r="BM43" s="188"/>
      <c r="BN43" s="188"/>
      <c r="BO43" s="188"/>
      <c r="BP43" s="188"/>
      <c r="BQ43" s="188"/>
    </row>
    <row r="44" spans="2:69" s="1" customFormat="1" ht="12" customHeight="1">
      <c r="J44" s="51"/>
      <c r="K44" s="25"/>
    </row>
    <row r="45" spans="2:69" s="68" customFormat="1" ht="15" customHeight="1">
      <c r="B45" s="68" t="s">
        <v>159</v>
      </c>
      <c r="J45" s="69"/>
      <c r="K45" s="70"/>
      <c r="O45" s="68" t="s">
        <v>238</v>
      </c>
    </row>
    <row r="46" spans="2:69" s="68" customFormat="1" ht="15" customHeight="1">
      <c r="B46" s="68" t="s">
        <v>165</v>
      </c>
      <c r="O46" s="71" t="s">
        <v>48</v>
      </c>
      <c r="S46" s="72" t="s">
        <v>44</v>
      </c>
    </row>
    <row r="47" spans="2:69" s="68" customFormat="1" ht="15" customHeight="1">
      <c r="B47" s="68" t="s">
        <v>192</v>
      </c>
      <c r="C47" s="73"/>
      <c r="D47" s="73"/>
      <c r="E47" s="73"/>
      <c r="F47" s="73"/>
      <c r="G47" s="73"/>
      <c r="H47" s="73"/>
      <c r="I47" s="74" t="s">
        <v>191</v>
      </c>
      <c r="J47" s="68">
        <v>1.25</v>
      </c>
      <c r="K47" s="68" t="s">
        <v>172</v>
      </c>
      <c r="O47" s="71" t="s">
        <v>45</v>
      </c>
      <c r="S47" s="72" t="s">
        <v>42</v>
      </c>
    </row>
    <row r="48" spans="2:69" s="68" customFormat="1" ht="14.1" customHeight="1">
      <c r="O48" s="71" t="s">
        <v>46</v>
      </c>
      <c r="S48" s="72" t="s">
        <v>44</v>
      </c>
    </row>
    <row r="49" spans="2:19" s="68" customFormat="1" ht="14.1" customHeight="1">
      <c r="O49" s="71" t="s">
        <v>47</v>
      </c>
      <c r="S49" s="72" t="s">
        <v>43</v>
      </c>
    </row>
    <row r="50" spans="2:19" s="68" customFormat="1" ht="14.1" customHeight="1"/>
    <row r="51" spans="2:19" s="68" customFormat="1" ht="14.1" customHeight="1"/>
    <row r="52" spans="2:19" s="1" customFormat="1" ht="18.95" customHeight="1"/>
    <row r="53" spans="2:19" s="1" customFormat="1" ht="18.95" hidden="1" customHeight="1">
      <c r="B53" s="9" t="s">
        <v>187</v>
      </c>
      <c r="I53" s="9" t="s">
        <v>186</v>
      </c>
      <c r="M53" s="67" t="s">
        <v>185</v>
      </c>
      <c r="N53" s="67" t="s">
        <v>184</v>
      </c>
    </row>
    <row r="54" spans="2:19" s="1" customFormat="1" ht="18.95" hidden="1" customHeight="1">
      <c r="B54" s="1" t="s">
        <v>168</v>
      </c>
      <c r="D54" s="16"/>
      <c r="H54" s="51"/>
      <c r="I54" s="1" t="s">
        <v>188</v>
      </c>
      <c r="M54" s="67">
        <v>-1000</v>
      </c>
      <c r="N54" s="67">
        <v>1000</v>
      </c>
    </row>
    <row r="55" spans="2:19" s="1" customFormat="1" ht="18.95" hidden="1" customHeight="1">
      <c r="B55" s="1" t="s">
        <v>166</v>
      </c>
      <c r="D55" s="16"/>
      <c r="I55" s="1" t="str">
        <f>AB6&amp;O6</f>
        <v>shown per householdnet annual benefit</v>
      </c>
      <c r="M55" s="75">
        <f>IF(AB6=B54,1,F22)*IF(O6=B58,1,1/12)*M54</f>
        <v>-1000</v>
      </c>
      <c r="N55" s="75">
        <f>IF(AB6=B54,1,F22)*IF(O6=B58,1,1/12)*N54</f>
        <v>1000</v>
      </c>
    </row>
    <row r="56" spans="2:19" s="1" customFormat="1" ht="18.95" hidden="1" customHeight="1">
      <c r="D56" s="16"/>
    </row>
    <row r="57" spans="2:19" s="1" customFormat="1" ht="18.95" hidden="1" customHeight="1">
      <c r="B57" s="1" t="s">
        <v>167</v>
      </c>
      <c r="D57" s="16"/>
    </row>
    <row r="58" spans="2:19" s="1" customFormat="1" ht="18.95" hidden="1" customHeight="1">
      <c r="B58" s="1" t="s">
        <v>143</v>
      </c>
      <c r="D58" s="16"/>
    </row>
    <row r="59" spans="2:19" s="1" customFormat="1" ht="18.95" customHeight="1">
      <c r="D59" s="16"/>
    </row>
    <row r="60" spans="2:19" s="1" customFormat="1" ht="18.95" customHeight="1">
      <c r="D60" s="16"/>
      <c r="H60" s="51"/>
      <c r="I60" s="51"/>
      <c r="J60" s="51"/>
      <c r="K60" s="25"/>
    </row>
    <row r="61" spans="2:19" s="1" customFormat="1" ht="18.95" customHeight="1">
      <c r="D61" s="16"/>
      <c r="H61" s="51"/>
      <c r="I61" s="51"/>
      <c r="J61" s="51"/>
      <c r="K61" s="25"/>
    </row>
    <row r="62" spans="2:19" s="45" customFormat="1" ht="24.95" customHeight="1"/>
    <row r="63" spans="2:19" s="45" customFormat="1" ht="24.95" customHeight="1"/>
    <row r="64" spans="2:19" s="45" customFormat="1" ht="24.95" customHeight="1"/>
    <row r="65" spans="1:14" s="45" customFormat="1" ht="24.95" customHeight="1"/>
    <row r="66" spans="1:14" s="45" customFormat="1" ht="24.95" customHeight="1"/>
    <row r="67" spans="1:14" s="45" customFormat="1" ht="24.95" customHeight="1">
      <c r="M67" s="17"/>
    </row>
    <row r="68" spans="1:14" s="45" customFormat="1" ht="24.95" customHeight="1">
      <c r="M68" s="2"/>
    </row>
    <row r="69" spans="1:14" s="45" customFormat="1" ht="24.95" customHeight="1">
      <c r="D69" s="17"/>
      <c r="E69" s="17"/>
      <c r="F69" s="17"/>
      <c r="G69" s="17"/>
      <c r="H69" s="17"/>
      <c r="I69" s="17"/>
      <c r="J69" s="17"/>
      <c r="K69" s="17"/>
      <c r="L69" s="17"/>
      <c r="M69" s="2"/>
    </row>
    <row r="70" spans="1:14" s="45" customFormat="1" ht="24.95" customHeight="1">
      <c r="D70" s="2"/>
      <c r="E70" s="2"/>
      <c r="F70" s="2"/>
      <c r="G70" s="13"/>
      <c r="H70" s="2"/>
      <c r="I70" s="2"/>
      <c r="J70" s="2"/>
      <c r="K70" s="2"/>
      <c r="L70" s="2"/>
      <c r="M70" s="2"/>
    </row>
    <row r="71" spans="1:14" s="45" customFormat="1" ht="24.95" customHeight="1">
      <c r="D71" s="2"/>
      <c r="E71" s="2"/>
      <c r="F71" s="2"/>
      <c r="G71" s="13"/>
      <c r="H71" s="2"/>
      <c r="I71" s="2"/>
      <c r="J71" s="2"/>
      <c r="K71" s="2"/>
      <c r="L71" s="2"/>
      <c r="M71" s="2"/>
    </row>
    <row r="72" spans="1:14" s="45" customFormat="1" ht="24.95" customHeight="1">
      <c r="D72" s="2"/>
      <c r="E72" s="2"/>
      <c r="F72" s="2"/>
      <c r="G72" s="13"/>
      <c r="H72" s="2"/>
      <c r="I72" s="2"/>
      <c r="J72" s="2"/>
      <c r="K72" s="2"/>
      <c r="L72" s="2"/>
      <c r="M72" s="2"/>
    </row>
    <row r="73" spans="1:14" s="45" customFormat="1" ht="24.95" customHeight="1">
      <c r="D73" s="2"/>
      <c r="E73" s="2"/>
      <c r="F73" s="2"/>
      <c r="G73" s="13"/>
      <c r="H73" s="2"/>
      <c r="I73" s="2"/>
      <c r="J73" s="2"/>
      <c r="K73" s="2"/>
      <c r="L73" s="2"/>
      <c r="M73" s="2"/>
    </row>
    <row r="74" spans="1:14" s="45" customFormat="1" ht="24.95" customHeight="1">
      <c r="D74" s="2"/>
      <c r="E74" s="2"/>
      <c r="F74" s="2"/>
      <c r="G74" s="13"/>
      <c r="H74" s="2"/>
      <c r="I74" s="2"/>
      <c r="J74" s="2"/>
      <c r="K74" s="2"/>
      <c r="L74" s="2"/>
      <c r="M74" s="2"/>
    </row>
    <row r="75" spans="1:14" s="45" customFormat="1" ht="24.95" customHeight="1">
      <c r="A75" s="17"/>
      <c r="D75" s="2"/>
      <c r="E75" s="2"/>
      <c r="F75" s="2"/>
      <c r="G75" s="13"/>
      <c r="H75" s="2"/>
      <c r="I75" s="2"/>
      <c r="J75" s="2"/>
      <c r="K75" s="2"/>
      <c r="L75" s="2"/>
      <c r="M75" s="2"/>
      <c r="N75" s="17"/>
    </row>
    <row r="76" spans="1:14" s="17" customFormat="1" ht="27.95" customHeight="1">
      <c r="A76" s="2"/>
      <c r="B76" s="45"/>
      <c r="D76" s="2"/>
      <c r="E76" s="2"/>
      <c r="F76" s="2"/>
      <c r="G76" s="13"/>
      <c r="H76" s="2"/>
      <c r="I76" s="2"/>
      <c r="J76" s="2"/>
      <c r="K76" s="2"/>
      <c r="L76" s="2"/>
      <c r="M76" s="2"/>
      <c r="N76" s="2"/>
    </row>
    <row r="77" spans="1:14" ht="20.100000000000001" customHeight="1">
      <c r="B77" s="17"/>
    </row>
  </sheetData>
  <mergeCells count="133">
    <mergeCell ref="O25:Q26"/>
    <mergeCell ref="O30:Q31"/>
    <mergeCell ref="O40:Q41"/>
    <mergeCell ref="F28:H29"/>
    <mergeCell ref="I26:K27"/>
    <mergeCell ref="I28:K29"/>
    <mergeCell ref="W23:W26"/>
    <mergeCell ref="Y20:AA20"/>
    <mergeCell ref="BO20:BQ20"/>
    <mergeCell ref="AM21:AO21"/>
    <mergeCell ref="M22:M29"/>
    <mergeCell ref="F37:G37"/>
    <mergeCell ref="F38:G38"/>
    <mergeCell ref="J30:K30"/>
    <mergeCell ref="J31:K31"/>
    <mergeCell ref="AM23:AO23"/>
    <mergeCell ref="AM24:AO24"/>
    <mergeCell ref="AM25:AO25"/>
    <mergeCell ref="AM26:AO26"/>
    <mergeCell ref="S33:S36"/>
    <mergeCell ref="AB33:AB36"/>
    <mergeCell ref="AB23:AB26"/>
    <mergeCell ref="AL23:AL26"/>
    <mergeCell ref="AL28:AL31"/>
    <mergeCell ref="AQ17:AS17"/>
    <mergeCell ref="AQ16:AS16"/>
    <mergeCell ref="AU16:AW16"/>
    <mergeCell ref="BG16:BI16"/>
    <mergeCell ref="BK16:BM16"/>
    <mergeCell ref="BO16:BQ16"/>
    <mergeCell ref="BO17:BQ17"/>
    <mergeCell ref="BC16:BE16"/>
    <mergeCell ref="AM20:AO20"/>
    <mergeCell ref="AQ20:AS20"/>
    <mergeCell ref="AY20:BA20"/>
    <mergeCell ref="AU20:AW20"/>
    <mergeCell ref="BG20:BI20"/>
    <mergeCell ref="BK20:BM20"/>
    <mergeCell ref="BC20:BE20"/>
    <mergeCell ref="BC17:BE17"/>
    <mergeCell ref="BG17:BI17"/>
    <mergeCell ref="AM17:AO17"/>
    <mergeCell ref="AU17:AW17"/>
    <mergeCell ref="AY16:BA16"/>
    <mergeCell ref="AY17:BA17"/>
    <mergeCell ref="B6:K14"/>
    <mergeCell ref="O6:AA8"/>
    <mergeCell ref="AB6:AE8"/>
    <mergeCell ref="B26:E31"/>
    <mergeCell ref="O33:Q34"/>
    <mergeCell ref="O35:Q35"/>
    <mergeCell ref="O38:Q39"/>
    <mergeCell ref="O28:Q29"/>
    <mergeCell ref="J37:K37"/>
    <mergeCell ref="J35:K35"/>
    <mergeCell ref="U38:U41"/>
    <mergeCell ref="B22:E24"/>
    <mergeCell ref="O10:Q19"/>
    <mergeCell ref="B37:E41"/>
    <mergeCell ref="B33:E35"/>
    <mergeCell ref="M14:M21"/>
    <mergeCell ref="W28:W31"/>
    <mergeCell ref="W33:W36"/>
    <mergeCell ref="W38:W41"/>
    <mergeCell ref="F22:K24"/>
    <mergeCell ref="F26:H27"/>
    <mergeCell ref="F39:G39"/>
    <mergeCell ref="F40:G40"/>
    <mergeCell ref="F41:G41"/>
    <mergeCell ref="AM28:AO28"/>
    <mergeCell ref="H38:I38"/>
    <mergeCell ref="H37:I37"/>
    <mergeCell ref="H39:I39"/>
    <mergeCell ref="H40:I40"/>
    <mergeCell ref="H41:I41"/>
    <mergeCell ref="I33:K33"/>
    <mergeCell ref="I34:K34"/>
    <mergeCell ref="J38:K38"/>
    <mergeCell ref="J39:K39"/>
    <mergeCell ref="J40:K40"/>
    <mergeCell ref="J41:K41"/>
    <mergeCell ref="U33:U36"/>
    <mergeCell ref="S38:S41"/>
    <mergeCell ref="AM31:AO31"/>
    <mergeCell ref="AM38:AO38"/>
    <mergeCell ref="AI10:AO13"/>
    <mergeCell ref="M6:M13"/>
    <mergeCell ref="AG38:AG41"/>
    <mergeCell ref="AG33:AG36"/>
    <mergeCell ref="AG28:AG31"/>
    <mergeCell ref="AG23:AG26"/>
    <mergeCell ref="AL16:AL17"/>
    <mergeCell ref="AL33:AL36"/>
    <mergeCell ref="AM33:AO33"/>
    <mergeCell ref="AM34:AO34"/>
    <mergeCell ref="AM35:AO35"/>
    <mergeCell ref="AM36:AO36"/>
    <mergeCell ref="AM29:AO29"/>
    <mergeCell ref="AM30:AO30"/>
    <mergeCell ref="S10:U13"/>
    <mergeCell ref="W10:AA13"/>
    <mergeCell ref="AM16:AO16"/>
    <mergeCell ref="AI17:AK17"/>
    <mergeCell ref="AB38:AB41"/>
    <mergeCell ref="AL38:AL41"/>
    <mergeCell ref="AM39:AO39"/>
    <mergeCell ref="AM40:AO40"/>
    <mergeCell ref="AM41:AO41"/>
    <mergeCell ref="U28:U31"/>
    <mergeCell ref="S23:S26"/>
    <mergeCell ref="S28:S31"/>
    <mergeCell ref="AB28:AB31"/>
    <mergeCell ref="AI20:AK20"/>
    <mergeCell ref="BK17:BM17"/>
    <mergeCell ref="B4:AE4"/>
    <mergeCell ref="U23:U26"/>
    <mergeCell ref="O23:Q24"/>
    <mergeCell ref="D2:E2"/>
    <mergeCell ref="B2:C2"/>
    <mergeCell ref="BC10:BQ13"/>
    <mergeCell ref="AC10:AE13"/>
    <mergeCell ref="AC16:AC17"/>
    <mergeCell ref="AE16:AE17"/>
    <mergeCell ref="W16:AA17"/>
    <mergeCell ref="U16:U17"/>
    <mergeCell ref="S16:S17"/>
    <mergeCell ref="AQ10:BA13"/>
    <mergeCell ref="AI6:BQ8"/>
    <mergeCell ref="B17:E21"/>
    <mergeCell ref="F17:K21"/>
    <mergeCell ref="AC20:AC21"/>
    <mergeCell ref="AE20:AE21"/>
    <mergeCell ref="AI16:AK16"/>
  </mergeCells>
  <phoneticPr fontId="42" type="noConversion"/>
  <conditionalFormatting sqref="U28 U23 U33 U38 Y23:AA31 Y33:AA36 Y38:AA41 AI23:AK31 AI33:AK36 AI38:AK41">
    <cfRule type="colorScale" priority="109">
      <colorScale>
        <cfvo type="formula" val="$M$55"/>
        <cfvo type="num" val="0"/>
        <cfvo type="formula" val="$N$55"/>
        <color rgb="FFEC0D77"/>
        <color theme="0"/>
        <color rgb="FF29EA9F"/>
      </colorScale>
    </cfRule>
  </conditionalFormatting>
  <conditionalFormatting sqref="AM23:AO31 AM33:AO36 AM38:AO41">
    <cfRule type="colorScale" priority="35">
      <colorScale>
        <cfvo type="num" val="$M$55"/>
        <cfvo type="num" val="0"/>
        <cfvo type="formula" val="$N$55"/>
        <color rgb="FFE30064"/>
        <color theme="0"/>
        <color rgb="FF63BE7B"/>
      </colorScale>
    </cfRule>
  </conditionalFormatting>
  <conditionalFormatting sqref="Y32:AA32 AI32:AK32">
    <cfRule type="colorScale" priority="34">
      <colorScale>
        <cfvo type="num" val="-1000"/>
        <cfvo type="num" val="0"/>
        <cfvo type="num" val="1000"/>
        <color rgb="FFFF0000"/>
        <color theme="0"/>
        <color rgb="FF008000"/>
      </colorScale>
    </cfRule>
  </conditionalFormatting>
  <conditionalFormatting sqref="AM32:AP32">
    <cfRule type="colorScale" priority="33">
      <colorScale>
        <cfvo type="num" val="-1000"/>
        <cfvo type="num" val="0"/>
        <cfvo type="num" val="1000"/>
        <color rgb="FFF8696B"/>
        <color theme="0"/>
        <color rgb="FF63BE7B"/>
      </colorScale>
    </cfRule>
  </conditionalFormatting>
  <conditionalFormatting sqref="Y37:AA37 AI37:AK37">
    <cfRule type="colorScale" priority="31">
      <colorScale>
        <cfvo type="num" val="-1000"/>
        <cfvo type="num" val="0"/>
        <cfvo type="num" val="1000"/>
        <color rgb="FFFF0000"/>
        <color theme="0"/>
        <color rgb="FF008000"/>
      </colorScale>
    </cfRule>
  </conditionalFormatting>
  <conditionalFormatting sqref="AM37:AP37">
    <cfRule type="colorScale" priority="30">
      <colorScale>
        <cfvo type="num" val="-1000"/>
        <cfvo type="num" val="0"/>
        <cfvo type="num" val="1000"/>
        <color rgb="FFF8696B"/>
        <color theme="0"/>
        <color rgb="FF63BE7B"/>
      </colorScale>
    </cfRule>
  </conditionalFormatting>
  <conditionalFormatting sqref="AQ23:AS31 AQ33:AS36 AQ38:AS41 AU33:AW36 AU38:AW41">
    <cfRule type="colorScale" priority="21">
      <colorScale>
        <cfvo type="formula" val="$M$55"/>
        <cfvo type="num" val="0"/>
        <cfvo type="formula" val="$N$55"/>
        <color rgb="FFE30064"/>
        <color theme="0"/>
        <color rgb="FF2DEA8E"/>
      </colorScale>
    </cfRule>
  </conditionalFormatting>
  <conditionalFormatting sqref="AQ32:AS32">
    <cfRule type="colorScale" priority="20">
      <colorScale>
        <cfvo type="num" val="-1000"/>
        <cfvo type="num" val="0"/>
        <cfvo type="num" val="1000"/>
        <color rgb="FFFF0000"/>
        <color theme="0"/>
        <color rgb="FF008000"/>
      </colorScale>
    </cfRule>
  </conditionalFormatting>
  <conditionalFormatting sqref="AQ37:AS37">
    <cfRule type="colorScale" priority="19">
      <colorScale>
        <cfvo type="num" val="-1000"/>
        <cfvo type="num" val="0"/>
        <cfvo type="num" val="1000"/>
        <color rgb="FFFF0000"/>
        <color theme="0"/>
        <color rgb="FF008000"/>
      </colorScale>
    </cfRule>
  </conditionalFormatting>
  <conditionalFormatting sqref="AY23:BA31 AY33:BA36 AY38:BA41">
    <cfRule type="colorScale" priority="9">
      <colorScale>
        <cfvo type="min" val="0"/>
        <cfvo type="num" val="0"/>
        <cfvo type="max" val="0"/>
        <color theme="6" tint="0.59999389629810485"/>
        <color theme="0"/>
        <color rgb="FFE30064"/>
      </colorScale>
    </cfRule>
  </conditionalFormatting>
  <conditionalFormatting sqref="AY32:BA32">
    <cfRule type="colorScale" priority="8">
      <colorScale>
        <cfvo type="num" val="-1000"/>
        <cfvo type="num" val="0"/>
        <cfvo type="num" val="1000"/>
        <color rgb="FFFF0000"/>
        <color theme="0"/>
        <color rgb="FF008000"/>
      </colorScale>
    </cfRule>
  </conditionalFormatting>
  <conditionalFormatting sqref="AY37:BA37">
    <cfRule type="colorScale" priority="7">
      <colorScale>
        <cfvo type="num" val="-1000"/>
        <cfvo type="num" val="0"/>
        <cfvo type="num" val="1000"/>
        <color rgb="FFFF0000"/>
        <color theme="0"/>
        <color rgb="FF008000"/>
      </colorScale>
    </cfRule>
  </conditionalFormatting>
  <conditionalFormatting sqref="AU23:AW31">
    <cfRule type="colorScale" priority="6">
      <colorScale>
        <cfvo type="formula" val="$M$55"/>
        <cfvo type="num" val="0"/>
        <cfvo type="formula" val="$N$55"/>
        <color rgb="FFE30064"/>
        <color theme="0"/>
        <color rgb="FF2DEA8E"/>
      </colorScale>
    </cfRule>
  </conditionalFormatting>
  <conditionalFormatting sqref="AU32:AW32">
    <cfRule type="colorScale" priority="5">
      <colorScale>
        <cfvo type="num" val="-1000"/>
        <cfvo type="num" val="0"/>
        <cfvo type="num" val="1000"/>
        <color rgb="FFFF0000"/>
        <color theme="0"/>
        <color rgb="FF008000"/>
      </colorScale>
    </cfRule>
  </conditionalFormatting>
  <conditionalFormatting sqref="AU37:AW37">
    <cfRule type="colorScale" priority="4">
      <colorScale>
        <cfvo type="num" val="-1000"/>
        <cfvo type="num" val="0"/>
        <cfvo type="num" val="1000"/>
        <color rgb="FFFF0000"/>
        <color theme="0"/>
        <color rgb="FF008000"/>
      </colorScale>
    </cfRule>
  </conditionalFormatting>
  <conditionalFormatting sqref="AC23:AC41">
    <cfRule type="colorScale" priority="3">
      <colorScale>
        <cfvo type="num" val="0"/>
        <cfvo type="max" val="0"/>
        <color rgb="FFFCFCFF"/>
        <color rgb="FFB1F0FF"/>
      </colorScale>
    </cfRule>
  </conditionalFormatting>
  <conditionalFormatting sqref="AE23:AE41">
    <cfRule type="colorScale" priority="2">
      <colorScale>
        <cfvo type="num" val="0"/>
        <cfvo type="max" val="0"/>
        <color rgb="FFFCFCFF"/>
        <color rgb="FFB1F0FF"/>
      </colorScale>
    </cfRule>
  </conditionalFormatting>
  <conditionalFormatting sqref="BC23:BQ41">
    <cfRule type="colorScale" priority="1">
      <colorScale>
        <cfvo type="num" val="0"/>
        <cfvo type="max" val="0"/>
        <color rgb="FFFCFCFF"/>
        <color rgb="FFA4EDFF"/>
      </colorScale>
    </cfRule>
  </conditionalFormatting>
  <dataValidations count="5">
    <dataValidation type="list" allowBlank="1" showInputMessage="1" showErrorMessage="1" sqref="S28 S23 S33 S38">
      <formula1>householdType</formula1>
    </dataValidation>
    <dataValidation type="list" allowBlank="1" showInputMessage="1" showErrorMessage="1" sqref="J31:J32 J44:J45 H54 H60:J61">
      <formula1>"Annual, Quarterly"</formula1>
    </dataValidation>
    <dataValidation type="list" allowBlank="1" showInputMessage="1" showErrorMessage="1" sqref="AB6:AE8">
      <formula1>$B$54:$B$55</formula1>
    </dataValidation>
    <dataValidation type="list" allowBlank="1" showInputMessage="1" showErrorMessage="1" sqref="O6:AA8">
      <formula1>$B$57:$B$58</formula1>
    </dataValidation>
    <dataValidation type="whole" allowBlank="1" showInputMessage="1" showErrorMessage="1" sqref="J30:K30">
      <formula1>1</formula1>
      <formula2>20</formula2>
    </dataValidation>
  </dataValidations>
  <hyperlinks>
    <hyperlink ref="D2" location="MarketModel!A1" display="market size"/>
    <hyperlink ref="E2" location="MarketModel!A1" display="MarketModel!A1"/>
    <hyperlink ref="B2" location="Menu!A1" display="menu"/>
    <hyperlink ref="C2" location="Menu!A1" display="Menu!A1"/>
  </hyperlinks>
  <pageMargins left="0.75000000000000011" right="0.75000000000000011" top="1" bottom="1" header="0.5" footer="0.5"/>
  <pageSetup paperSize="8" scale="63" orientation="landscape" horizontalDpi="4294967292" verticalDpi="4294967292"/>
  <rowBreaks count="1" manualBreakCount="1">
    <brk id="49" max="16383" man="1"/>
  </rowBreaks>
  <colBreaks count="1" manualBreakCount="1">
    <brk id="31" max="1048575" man="1"/>
  </colBreaks>
  <drawing r:id="rId1"/>
</worksheet>
</file>

<file path=xl/worksheets/sheet4.xml><?xml version="1.0" encoding="utf-8"?>
<worksheet xmlns="http://schemas.openxmlformats.org/spreadsheetml/2006/main" xmlns:r="http://schemas.openxmlformats.org/officeDocument/2006/relationships">
  <dimension ref="A1:AD55"/>
  <sheetViews>
    <sheetView workbookViewId="0">
      <selection activeCell="D61" sqref="D61"/>
    </sheetView>
  </sheetViews>
  <sheetFormatPr defaultColWidth="11.125" defaultRowHeight="15.75"/>
  <cols>
    <col min="1" max="1" width="19.875" style="41" bestFit="1" customWidth="1"/>
    <col min="2" max="2" width="10.625" customWidth="1"/>
    <col min="3" max="3" width="13.375" customWidth="1"/>
    <col min="9" max="9" width="13.625" customWidth="1"/>
    <col min="10" max="10" width="12.625" bestFit="1" customWidth="1"/>
    <col min="11" max="11" width="7.375" customWidth="1"/>
    <col min="13" max="13" width="0" hidden="1" customWidth="1"/>
    <col min="14" max="14" width="19.375" hidden="1" customWidth="1"/>
    <col min="15" max="15" width="0" hidden="1" customWidth="1"/>
    <col min="16" max="16" width="17" hidden="1" customWidth="1"/>
    <col min="17" max="17" width="0" hidden="1" customWidth="1"/>
    <col min="18" max="18" width="17.125" bestFit="1" customWidth="1"/>
    <col min="19" max="19" width="0" hidden="1" customWidth="1"/>
    <col min="20" max="20" width="12.875" hidden="1" customWidth="1"/>
    <col min="21" max="21" width="0" hidden="1" customWidth="1"/>
    <col min="25" max="25" width="18.125" hidden="1" customWidth="1"/>
    <col min="26" max="26" width="19.625" hidden="1" customWidth="1"/>
    <col min="27" max="28" width="18.125" hidden="1" customWidth="1"/>
    <col min="29" max="29" width="19.125" hidden="1" customWidth="1"/>
    <col min="30" max="30" width="17.125" hidden="1" customWidth="1"/>
  </cols>
  <sheetData>
    <row r="1" spans="1:30">
      <c r="A1" s="41" t="s">
        <v>49</v>
      </c>
      <c r="C1" t="s">
        <v>4</v>
      </c>
      <c r="D1" t="s">
        <v>5</v>
      </c>
      <c r="E1" t="s">
        <v>6</v>
      </c>
      <c r="F1" t="s">
        <v>7</v>
      </c>
      <c r="G1" t="s">
        <v>8</v>
      </c>
      <c r="H1" t="s">
        <v>9</v>
      </c>
      <c r="I1" t="s">
        <v>10</v>
      </c>
      <c r="J1" t="s">
        <v>11</v>
      </c>
      <c r="K1" t="s">
        <v>12</v>
      </c>
      <c r="L1" t="s">
        <v>13</v>
      </c>
      <c r="M1" t="s">
        <v>14</v>
      </c>
      <c r="N1" t="s">
        <v>15</v>
      </c>
      <c r="O1" t="s">
        <v>16</v>
      </c>
      <c r="P1" t="s">
        <v>17</v>
      </c>
      <c r="Q1" t="s">
        <v>18</v>
      </c>
      <c r="R1" t="s">
        <v>19</v>
      </c>
      <c r="S1" t="s">
        <v>20</v>
      </c>
      <c r="T1" t="s">
        <v>21</v>
      </c>
      <c r="U1" t="s">
        <v>22</v>
      </c>
      <c r="V1" t="s">
        <v>23</v>
      </c>
      <c r="W1" t="s">
        <v>24</v>
      </c>
      <c r="X1" t="s">
        <v>25</v>
      </c>
      <c r="Y1" t="s">
        <v>26</v>
      </c>
      <c r="Z1" t="s">
        <v>27</v>
      </c>
      <c r="AA1" t="s">
        <v>28</v>
      </c>
      <c r="AB1" t="s">
        <v>29</v>
      </c>
      <c r="AC1" t="s">
        <v>30</v>
      </c>
      <c r="AD1" t="s">
        <v>31</v>
      </c>
    </row>
    <row r="2" spans="1:30">
      <c r="A2" s="41" t="str">
        <f>V2&amp;W2&amp;X2</f>
        <v>SingleCouple2.0 kW5 kWh</v>
      </c>
      <c r="B2">
        <v>0</v>
      </c>
      <c r="C2" s="22">
        <v>365.30416666666599</v>
      </c>
      <c r="D2" s="23">
        <v>1825</v>
      </c>
      <c r="E2" s="23">
        <v>2203.02602580645</v>
      </c>
      <c r="F2" s="23">
        <v>1812.2433677419299</v>
      </c>
      <c r="G2" s="23">
        <v>1434.2173419354799</v>
      </c>
      <c r="H2" s="23">
        <v>547.5</v>
      </c>
      <c r="I2" s="23">
        <v>108.734602064516</v>
      </c>
      <c r="J2" s="23">
        <v>347.88275748387002</v>
      </c>
      <c r="K2" s="23">
        <v>239.148155419354</v>
      </c>
      <c r="L2" s="23">
        <v>308.35184458064498</v>
      </c>
      <c r="M2" s="23">
        <v>45.625</v>
      </c>
      <c r="N2" s="23">
        <v>45.625</v>
      </c>
      <c r="O2" s="23">
        <v>27.8920833333333</v>
      </c>
      <c r="P2" s="23">
        <v>19.929012951612901</v>
      </c>
      <c r="Q2" s="23">
        <v>17.7329166666666</v>
      </c>
      <c r="R2" s="23">
        <v>25.695987048387099</v>
      </c>
      <c r="S2" s="23">
        <v>0.82261550545165996</v>
      </c>
      <c r="T2" s="23">
        <v>308.35184458064498</v>
      </c>
      <c r="U2" s="23">
        <v>10.896643101225999</v>
      </c>
      <c r="V2" s="24" t="s">
        <v>32</v>
      </c>
      <c r="W2" s="24" t="s">
        <v>33</v>
      </c>
      <c r="X2" s="24" t="s">
        <v>34</v>
      </c>
      <c r="Y2" s="24">
        <v>-2.3040129516129002</v>
      </c>
      <c r="Z2" s="24">
        <v>-9.3040129516129007</v>
      </c>
      <c r="AA2" s="24">
        <v>-16.304012951612901</v>
      </c>
      <c r="AB2" s="24">
        <v>-24.304012951612901</v>
      </c>
      <c r="AC2" s="24">
        <v>-44.304012951612897</v>
      </c>
      <c r="AD2" s="24">
        <v>-84.304012951612904</v>
      </c>
    </row>
    <row r="3" spans="1:30">
      <c r="A3" s="41" t="str">
        <f t="shared" ref="A3:A49" si="0">V3&amp;W3&amp;X3</f>
        <v>SingleCouple3.0 kW5 kWh</v>
      </c>
      <c r="B3">
        <v>1</v>
      </c>
      <c r="C3" s="22">
        <v>365.30416666666599</v>
      </c>
      <c r="D3" s="23">
        <v>1825</v>
      </c>
      <c r="E3" s="23">
        <v>3304.53903870967</v>
      </c>
      <c r="F3" s="23">
        <v>2878.9348311827898</v>
      </c>
      <c r="G3" s="23">
        <v>1399.3957924731101</v>
      </c>
      <c r="H3" s="23">
        <v>547.5</v>
      </c>
      <c r="I3" s="23">
        <v>172.73608987096699</v>
      </c>
      <c r="J3" s="23">
        <v>337.82803507661203</v>
      </c>
      <c r="K3" s="23">
        <v>165.091945205645</v>
      </c>
      <c r="L3" s="23">
        <v>382.40805479435397</v>
      </c>
      <c r="M3" s="23">
        <v>45.625</v>
      </c>
      <c r="N3" s="23">
        <v>45.625</v>
      </c>
      <c r="O3" s="23">
        <v>24.728749999999899</v>
      </c>
      <c r="P3" s="23">
        <v>13.7576621004704</v>
      </c>
      <c r="Q3" s="23">
        <v>20.896249999999998</v>
      </c>
      <c r="R3" s="23">
        <v>31.867337899529499</v>
      </c>
      <c r="S3" s="23">
        <v>0.87120617957865898</v>
      </c>
      <c r="T3" s="23">
        <v>382.40805479435397</v>
      </c>
      <c r="U3" s="23">
        <v>12.724627368575501</v>
      </c>
      <c r="V3" s="24" t="s">
        <v>32</v>
      </c>
      <c r="W3" s="24" t="s">
        <v>35</v>
      </c>
      <c r="X3" s="24" t="s">
        <v>34</v>
      </c>
      <c r="Y3" s="24">
        <v>-9.1326621004704194</v>
      </c>
      <c r="Z3" s="24">
        <v>-19.132662100470402</v>
      </c>
      <c r="AA3" s="24">
        <v>-29.132662100470402</v>
      </c>
      <c r="AB3" s="24">
        <v>-41.132662100470398</v>
      </c>
      <c r="AC3" s="24">
        <v>-69.132662100470398</v>
      </c>
      <c r="AD3" s="24">
        <v>-127.13266210047</v>
      </c>
    </row>
    <row r="4" spans="1:30">
      <c r="A4" s="41" t="str">
        <f t="shared" si="0"/>
        <v>SingleCouple4.0 kW5 kWh</v>
      </c>
      <c r="B4">
        <v>2</v>
      </c>
      <c r="C4" s="22">
        <v>365.30416666666599</v>
      </c>
      <c r="D4" s="23">
        <v>1825</v>
      </c>
      <c r="E4" s="23">
        <v>4406.0520516129</v>
      </c>
      <c r="F4" s="23">
        <v>3955.8257290322499</v>
      </c>
      <c r="G4" s="23">
        <v>1374.77367741935</v>
      </c>
      <c r="H4" s="23">
        <v>547.5</v>
      </c>
      <c r="I4" s="23">
        <v>237.34954374193501</v>
      </c>
      <c r="J4" s="23">
        <v>330.71839935483803</v>
      </c>
      <c r="K4" s="23">
        <v>93.368855612903104</v>
      </c>
      <c r="L4" s="23">
        <v>454.13114438709601</v>
      </c>
      <c r="M4" s="23">
        <v>45.625</v>
      </c>
      <c r="N4" s="23">
        <v>45.625</v>
      </c>
      <c r="O4" s="23">
        <v>21.5654166666666</v>
      </c>
      <c r="P4" s="23">
        <v>7.7807379677419304</v>
      </c>
      <c r="Q4" s="23">
        <v>24.0595833333333</v>
      </c>
      <c r="R4" s="23">
        <v>37.844262032258001</v>
      </c>
      <c r="S4" s="23">
        <v>0.89781638589225599</v>
      </c>
      <c r="T4" s="23">
        <v>454.13114438709601</v>
      </c>
      <c r="U4" s="23">
        <v>13.2494766641046</v>
      </c>
      <c r="V4" s="24" t="s">
        <v>32</v>
      </c>
      <c r="W4" s="24" t="s">
        <v>36</v>
      </c>
      <c r="X4" s="24" t="s">
        <v>34</v>
      </c>
      <c r="Y4" s="24">
        <v>-12.155737967741899</v>
      </c>
      <c r="Z4" s="24">
        <v>-25.155737967741899</v>
      </c>
      <c r="AA4" s="24">
        <v>-37.155737967741899</v>
      </c>
      <c r="AB4" s="24">
        <v>-52.155737967741899</v>
      </c>
      <c r="AC4" s="24">
        <v>-87.155737967741899</v>
      </c>
      <c r="AD4" s="24">
        <v>-159.155737967741</v>
      </c>
    </row>
    <row r="5" spans="1:30">
      <c r="A5" s="41" t="str">
        <f t="shared" si="0"/>
        <v>SingleCouple5.0 kW5 kWh</v>
      </c>
      <c r="B5">
        <v>3</v>
      </c>
      <c r="C5" s="22">
        <v>365.30416666666599</v>
      </c>
      <c r="D5" s="23">
        <v>1825</v>
      </c>
      <c r="E5" s="23">
        <v>5507.5650645161204</v>
      </c>
      <c r="F5" s="23">
        <v>5043.9758172043003</v>
      </c>
      <c r="G5" s="23">
        <v>1361.4107526881701</v>
      </c>
      <c r="H5" s="23">
        <v>547.5</v>
      </c>
      <c r="I5" s="23">
        <v>302.63854903225803</v>
      </c>
      <c r="J5" s="23">
        <v>326.859854838709</v>
      </c>
      <c r="K5" s="23">
        <v>24.2213058064516</v>
      </c>
      <c r="L5" s="23">
        <v>523.27869419354795</v>
      </c>
      <c r="M5" s="23">
        <v>45.625</v>
      </c>
      <c r="N5" s="23">
        <v>45.625</v>
      </c>
      <c r="O5" s="23">
        <v>18.402083333333302</v>
      </c>
      <c r="P5" s="23">
        <v>2.0184421505376302</v>
      </c>
      <c r="Q5" s="23">
        <v>27.222916666666599</v>
      </c>
      <c r="R5" s="23">
        <v>43.606557849462298</v>
      </c>
      <c r="S5" s="23">
        <v>0.91582682330915699</v>
      </c>
      <c r="T5" s="23">
        <v>523.27869419354795</v>
      </c>
      <c r="U5" s="23">
        <v>13.281641460122801</v>
      </c>
      <c r="V5" s="24" t="s">
        <v>32</v>
      </c>
      <c r="W5" s="24" t="s">
        <v>37</v>
      </c>
      <c r="X5" s="24" t="s">
        <v>34</v>
      </c>
      <c r="Y5" s="24">
        <v>-14.3934421505376</v>
      </c>
      <c r="Z5" s="24">
        <v>-28.393442150537599</v>
      </c>
      <c r="AA5" s="24">
        <v>-43.393442150537602</v>
      </c>
      <c r="AB5" s="24">
        <v>-60.393442150537602</v>
      </c>
      <c r="AC5" s="24">
        <v>-101.393442150537</v>
      </c>
      <c r="AD5" s="24">
        <v>-184.393442150537</v>
      </c>
    </row>
    <row r="6" spans="1:30">
      <c r="A6" s="41" t="str">
        <f t="shared" si="0"/>
        <v>FamilyType12.0 kW5 kWh</v>
      </c>
      <c r="B6">
        <v>4</v>
      </c>
      <c r="C6" s="22">
        <v>365.30416666666599</v>
      </c>
      <c r="D6" s="23">
        <v>1825</v>
      </c>
      <c r="E6" s="23">
        <v>2203.02602580645</v>
      </c>
      <c r="F6" s="23">
        <v>1623.2531182795699</v>
      </c>
      <c r="G6" s="23">
        <v>1245.2270924731099</v>
      </c>
      <c r="H6" s="23">
        <v>547.49999999999898</v>
      </c>
      <c r="I6" s="23">
        <v>97.395187096774194</v>
      </c>
      <c r="J6" s="23">
        <v>296.62419795161202</v>
      </c>
      <c r="K6" s="23">
        <v>199.22901085483801</v>
      </c>
      <c r="L6" s="23">
        <v>348.27098914516102</v>
      </c>
      <c r="M6" s="23">
        <v>45.624999999999901</v>
      </c>
      <c r="N6" s="23">
        <v>45.624999999999901</v>
      </c>
      <c r="O6" s="23">
        <v>26.475974583333301</v>
      </c>
      <c r="P6" s="23">
        <v>16.602417571236501</v>
      </c>
      <c r="Q6" s="23">
        <v>19.1490254166666</v>
      </c>
      <c r="R6" s="23">
        <v>29.0225824287634</v>
      </c>
      <c r="S6" s="23">
        <v>0.73682884326586795</v>
      </c>
      <c r="T6" s="23">
        <v>348.27098914516102</v>
      </c>
      <c r="U6" s="23">
        <v>9.6476597383181204</v>
      </c>
      <c r="V6" s="24" t="s">
        <v>38</v>
      </c>
      <c r="W6" s="24" t="s">
        <v>33</v>
      </c>
      <c r="X6" s="24" t="s">
        <v>34</v>
      </c>
      <c r="Y6" s="24">
        <v>1.02258242876344</v>
      </c>
      <c r="Z6" s="24">
        <v>-5.9774175712365496</v>
      </c>
      <c r="AA6" s="24">
        <v>-12.977417571236501</v>
      </c>
      <c r="AB6" s="24">
        <v>-20.977417571236501</v>
      </c>
      <c r="AC6" s="24">
        <v>-40.977417571236501</v>
      </c>
      <c r="AD6" s="24">
        <v>-80.977417571236501</v>
      </c>
    </row>
    <row r="7" spans="1:30">
      <c r="A7" s="41" t="str">
        <f t="shared" si="0"/>
        <v>FamilyType13.0 kW5 kWh</v>
      </c>
      <c r="B7">
        <v>5</v>
      </c>
      <c r="C7" s="22">
        <v>365.30416666666599</v>
      </c>
      <c r="D7" s="23">
        <v>1825</v>
      </c>
      <c r="E7" s="23">
        <v>3304.53903870967</v>
      </c>
      <c r="F7" s="23">
        <v>2682.7500784946201</v>
      </c>
      <c r="G7" s="23">
        <v>1203.2110397849401</v>
      </c>
      <c r="H7" s="23">
        <v>547.49999999999898</v>
      </c>
      <c r="I7" s="23">
        <v>160.965004709677</v>
      </c>
      <c r="J7" s="23">
        <v>284.49206273790298</v>
      </c>
      <c r="K7" s="23">
        <v>123.527058028225</v>
      </c>
      <c r="L7" s="23">
        <v>423.97294197177399</v>
      </c>
      <c r="M7" s="23">
        <v>45.624999999999901</v>
      </c>
      <c r="N7" s="23">
        <v>45.624999999999901</v>
      </c>
      <c r="O7" s="23">
        <v>23.2653281249999</v>
      </c>
      <c r="P7" s="23">
        <v>10.2939215023521</v>
      </c>
      <c r="Q7" s="23">
        <v>22.359671875</v>
      </c>
      <c r="R7" s="23">
        <v>35.331078497647802</v>
      </c>
      <c r="S7" s="23">
        <v>0.81183791356937796</v>
      </c>
      <c r="T7" s="23">
        <v>423.97294197177399</v>
      </c>
      <c r="U7" s="23">
        <v>11.4771475211829</v>
      </c>
      <c r="V7" s="24" t="s">
        <v>38</v>
      </c>
      <c r="W7" s="24" t="s">
        <v>35</v>
      </c>
      <c r="X7" s="24" t="s">
        <v>34</v>
      </c>
      <c r="Y7" s="24">
        <v>-5.6689215023521404</v>
      </c>
      <c r="Z7" s="24">
        <v>-15.6689215023521</v>
      </c>
      <c r="AA7" s="24">
        <v>-25.668921502352099</v>
      </c>
      <c r="AB7" s="24">
        <v>-37.668921502352099</v>
      </c>
      <c r="AC7" s="24">
        <v>-65.668921502352106</v>
      </c>
      <c r="AD7" s="24">
        <v>-123.66892150235201</v>
      </c>
    </row>
    <row r="8" spans="1:30">
      <c r="A8" s="41" t="str">
        <f t="shared" si="0"/>
        <v>FamilyType14.0 kW5 kWh</v>
      </c>
      <c r="B8">
        <v>6</v>
      </c>
      <c r="C8" s="22">
        <v>365.30416666666599</v>
      </c>
      <c r="D8" s="23">
        <v>1825</v>
      </c>
      <c r="E8" s="23">
        <v>4406.0520516129</v>
      </c>
      <c r="F8" s="23">
        <v>3768.7930569892401</v>
      </c>
      <c r="G8" s="23">
        <v>1187.7410053763399</v>
      </c>
      <c r="H8" s="23">
        <v>547.49999999999898</v>
      </c>
      <c r="I8" s="23">
        <v>226.12758341935401</v>
      </c>
      <c r="J8" s="23">
        <v>280.02509030241902</v>
      </c>
      <c r="K8" s="23">
        <v>53.897506883064501</v>
      </c>
      <c r="L8" s="23">
        <v>493.60249311693502</v>
      </c>
      <c r="M8" s="23">
        <v>45.624999999999901</v>
      </c>
      <c r="N8" s="23">
        <v>45.624999999999901</v>
      </c>
      <c r="O8" s="23">
        <v>20.101994791666598</v>
      </c>
      <c r="P8" s="23">
        <v>4.4914589069220403</v>
      </c>
      <c r="Q8" s="23">
        <v>25.523005208333299</v>
      </c>
      <c r="R8" s="23">
        <v>41.133541093077902</v>
      </c>
      <c r="S8" s="23">
        <v>0.855367347648474</v>
      </c>
      <c r="T8" s="23">
        <v>493.60249311693502</v>
      </c>
      <c r="U8" s="23">
        <v>12.189970844767499</v>
      </c>
      <c r="V8" s="24" t="s">
        <v>38</v>
      </c>
      <c r="W8" s="24" t="s">
        <v>36</v>
      </c>
      <c r="X8" s="24" t="s">
        <v>34</v>
      </c>
      <c r="Y8" s="24">
        <v>-8.8664589069220394</v>
      </c>
      <c r="Z8" s="24">
        <v>-21.866458906921999</v>
      </c>
      <c r="AA8" s="24">
        <v>-33.866458906921999</v>
      </c>
      <c r="AB8" s="24">
        <v>-48.866458906921999</v>
      </c>
      <c r="AC8" s="24">
        <v>-83.866458906922006</v>
      </c>
      <c r="AD8" s="24">
        <v>-155.86645890692199</v>
      </c>
    </row>
    <row r="9" spans="1:30">
      <c r="A9" s="41" t="str">
        <f t="shared" si="0"/>
        <v>FamilyType15.0 kW5 kWh</v>
      </c>
      <c r="B9">
        <v>7</v>
      </c>
      <c r="C9" s="22">
        <v>365.30416666666599</v>
      </c>
      <c r="D9" s="23">
        <v>1825</v>
      </c>
      <c r="E9" s="23">
        <v>5507.5650645161204</v>
      </c>
      <c r="F9" s="23">
        <v>4867.2942311827901</v>
      </c>
      <c r="G9" s="23">
        <v>1184.7291666666599</v>
      </c>
      <c r="H9" s="23">
        <v>547.49999999999898</v>
      </c>
      <c r="I9" s="23">
        <v>292.03765387096701</v>
      </c>
      <c r="J9" s="23">
        <v>279.15542187499898</v>
      </c>
      <c r="K9" s="23">
        <v>-12.8822319959677</v>
      </c>
      <c r="L9" s="23">
        <v>560.382231995967</v>
      </c>
      <c r="M9" s="23">
        <v>45.624999999999901</v>
      </c>
      <c r="N9" s="23">
        <v>45.624999999999901</v>
      </c>
      <c r="O9" s="23">
        <v>16.9386614583333</v>
      </c>
      <c r="P9" s="23">
        <v>-1.0735193329973101</v>
      </c>
      <c r="Q9" s="23">
        <v>28.686338541666601</v>
      </c>
      <c r="R9" s="23">
        <v>46.6985193329973</v>
      </c>
      <c r="S9" s="23">
        <v>0.88374702326107002</v>
      </c>
      <c r="T9" s="23">
        <v>560.382231995967</v>
      </c>
      <c r="U9" s="23">
        <v>12.402249042132301</v>
      </c>
      <c r="V9" s="24" t="s">
        <v>38</v>
      </c>
      <c r="W9" s="24" t="s">
        <v>37</v>
      </c>
      <c r="X9" s="24" t="s">
        <v>34</v>
      </c>
      <c r="Y9" s="24">
        <v>-11.3014806670026</v>
      </c>
      <c r="Z9" s="24">
        <v>-25.3014806670026</v>
      </c>
      <c r="AA9" s="24">
        <v>-40.3014806670026</v>
      </c>
      <c r="AB9" s="24">
        <v>-57.3014806670026</v>
      </c>
      <c r="AC9" s="24">
        <v>-98.301480667002593</v>
      </c>
      <c r="AD9" s="24">
        <v>-181.30148066700201</v>
      </c>
    </row>
    <row r="10" spans="1:30">
      <c r="A10" s="41" t="str">
        <f t="shared" si="0"/>
        <v>FamilyType22.0 kW5 kWh</v>
      </c>
      <c r="B10">
        <v>8</v>
      </c>
      <c r="C10" s="22">
        <v>365.30416666666599</v>
      </c>
      <c r="D10" s="23">
        <v>1825</v>
      </c>
      <c r="E10" s="23">
        <v>2203.02602580645</v>
      </c>
      <c r="F10" s="23">
        <v>1427.3999268817199</v>
      </c>
      <c r="G10" s="23">
        <v>1049.3739010752599</v>
      </c>
      <c r="H10" s="23">
        <v>547.5</v>
      </c>
      <c r="I10" s="23">
        <v>85.643995612903197</v>
      </c>
      <c r="J10" s="23">
        <v>243.383963935483</v>
      </c>
      <c r="K10" s="23">
        <v>157.73996832258001</v>
      </c>
      <c r="L10" s="23">
        <v>389.76003167741902</v>
      </c>
      <c r="M10" s="23">
        <v>45.625</v>
      </c>
      <c r="N10" s="23">
        <v>45.625</v>
      </c>
      <c r="O10" s="23">
        <v>23.273099583333298</v>
      </c>
      <c r="P10" s="23">
        <v>13.144997360214999</v>
      </c>
      <c r="Q10" s="23">
        <v>22.351900416666599</v>
      </c>
      <c r="R10" s="23">
        <v>32.4800026397849</v>
      </c>
      <c r="S10" s="23">
        <v>0.64792694691802299</v>
      </c>
      <c r="T10" s="23">
        <v>389.76003167741902</v>
      </c>
      <c r="U10" s="23">
        <v>8.6206889545330903</v>
      </c>
      <c r="V10" s="24" t="s">
        <v>39</v>
      </c>
      <c r="W10" s="24" t="s">
        <v>33</v>
      </c>
      <c r="X10" s="24" t="s">
        <v>34</v>
      </c>
      <c r="Y10" s="24">
        <v>4.4800026397849502</v>
      </c>
      <c r="Z10" s="24">
        <v>-2.5199973602150401</v>
      </c>
      <c r="AA10" s="24">
        <v>-9.5199973602150401</v>
      </c>
      <c r="AB10" s="24">
        <v>-17.519997360215001</v>
      </c>
      <c r="AC10" s="24">
        <v>-37.519997360215001</v>
      </c>
      <c r="AD10" s="24">
        <v>-77.519997360215001</v>
      </c>
    </row>
    <row r="11" spans="1:30">
      <c r="A11" s="41" t="str">
        <f t="shared" si="0"/>
        <v>FamilyType23.0 kW5 kWh</v>
      </c>
      <c r="B11">
        <v>9</v>
      </c>
      <c r="C11" s="22">
        <v>365.30416666666599</v>
      </c>
      <c r="D11" s="23">
        <v>1825</v>
      </c>
      <c r="E11" s="23">
        <v>3304.53903870967</v>
      </c>
      <c r="F11" s="23">
        <v>2500.4616999999998</v>
      </c>
      <c r="G11" s="23">
        <v>1020.92266129032</v>
      </c>
      <c r="H11" s="23">
        <v>547.5</v>
      </c>
      <c r="I11" s="23">
        <v>150.02770200000001</v>
      </c>
      <c r="J11" s="23">
        <v>235.16866844757999</v>
      </c>
      <c r="K11" s="23">
        <v>85.140966447580595</v>
      </c>
      <c r="L11" s="23">
        <v>462.35903355241902</v>
      </c>
      <c r="M11" s="23">
        <v>45.625</v>
      </c>
      <c r="N11" s="23">
        <v>45.625</v>
      </c>
      <c r="O11" s="23">
        <v>20.062453124999902</v>
      </c>
      <c r="P11" s="23">
        <v>7.0950805372983803</v>
      </c>
      <c r="Q11" s="23">
        <v>25.562546874999999</v>
      </c>
      <c r="R11" s="23">
        <v>38.529919462701599</v>
      </c>
      <c r="S11" s="23">
        <v>0.75667488587950005</v>
      </c>
      <c r="T11" s="23">
        <v>462.35903355241902</v>
      </c>
      <c r="U11" s="23">
        <v>10.524288803472199</v>
      </c>
      <c r="V11" s="24" t="s">
        <v>39</v>
      </c>
      <c r="W11" s="24" t="s">
        <v>35</v>
      </c>
      <c r="X11" s="24" t="s">
        <v>34</v>
      </c>
      <c r="Y11" s="24">
        <v>-2.4700805372983798</v>
      </c>
      <c r="Z11" s="24">
        <v>-12.470080537298299</v>
      </c>
      <c r="AA11" s="24">
        <v>-22.470080537298301</v>
      </c>
      <c r="AB11" s="24">
        <v>-34.470080537298301</v>
      </c>
      <c r="AC11" s="24">
        <v>-62.470080537298301</v>
      </c>
      <c r="AD11" s="24">
        <v>-120.470080537298</v>
      </c>
    </row>
    <row r="12" spans="1:30">
      <c r="A12" s="41" t="str">
        <f t="shared" si="0"/>
        <v>FamilyType24.0 kW5 kWh</v>
      </c>
      <c r="B12">
        <v>10</v>
      </c>
      <c r="C12" s="22">
        <v>365.30416666666599</v>
      </c>
      <c r="D12" s="23">
        <v>1825</v>
      </c>
      <c r="E12" s="23">
        <v>4406.0520516129</v>
      </c>
      <c r="F12" s="23">
        <v>3600.0103849462298</v>
      </c>
      <c r="G12" s="23">
        <v>1018.95833333333</v>
      </c>
      <c r="H12" s="23">
        <v>547.5</v>
      </c>
      <c r="I12" s="23">
        <v>216.00062309677401</v>
      </c>
      <c r="J12" s="23">
        <v>234.60146874999899</v>
      </c>
      <c r="K12" s="23">
        <v>18.600845653225701</v>
      </c>
      <c r="L12" s="23">
        <v>528.89915434677403</v>
      </c>
      <c r="M12" s="23">
        <v>45.625</v>
      </c>
      <c r="N12" s="23">
        <v>45.625</v>
      </c>
      <c r="O12" s="23">
        <v>16.8991197916666</v>
      </c>
      <c r="P12" s="23">
        <v>1.55007047110214</v>
      </c>
      <c r="Q12" s="23">
        <v>28.725880208333301</v>
      </c>
      <c r="R12" s="23">
        <v>44.074929528897798</v>
      </c>
      <c r="S12" s="23">
        <v>0.81706033945477197</v>
      </c>
      <c r="T12" s="23">
        <v>528.89915434677403</v>
      </c>
      <c r="U12" s="23">
        <v>11.3764598611079</v>
      </c>
      <c r="V12" s="24" t="s">
        <v>39</v>
      </c>
      <c r="W12" s="24" t="s">
        <v>36</v>
      </c>
      <c r="X12" s="24" t="s">
        <v>34</v>
      </c>
      <c r="Y12" s="24">
        <v>-5.9250704711021296</v>
      </c>
      <c r="Z12" s="24">
        <v>-18.925070471102099</v>
      </c>
      <c r="AA12" s="24">
        <v>-30.925070471102099</v>
      </c>
      <c r="AB12" s="24">
        <v>-45.925070471102103</v>
      </c>
      <c r="AC12" s="24">
        <v>-80.925070471102103</v>
      </c>
      <c r="AD12" s="24">
        <v>-152.925070471102</v>
      </c>
    </row>
    <row r="13" spans="1:30">
      <c r="A13" s="41" t="str">
        <f t="shared" si="0"/>
        <v>FamilyType25.0 kW5 kWh</v>
      </c>
      <c r="B13">
        <v>11</v>
      </c>
      <c r="C13" s="22">
        <v>365.30416666666599</v>
      </c>
      <c r="D13" s="23">
        <v>1825</v>
      </c>
      <c r="E13" s="23">
        <v>5507.5650645161204</v>
      </c>
      <c r="F13" s="23">
        <v>4701.5233978494598</v>
      </c>
      <c r="G13" s="23">
        <v>1018.95833333333</v>
      </c>
      <c r="H13" s="23">
        <v>547.5</v>
      </c>
      <c r="I13" s="23">
        <v>282.09140387096699</v>
      </c>
      <c r="J13" s="23">
        <v>234.60146874999899</v>
      </c>
      <c r="K13" s="23">
        <v>-47.489935120967701</v>
      </c>
      <c r="L13" s="23">
        <v>594.98993512096695</v>
      </c>
      <c r="M13" s="23">
        <v>45.625</v>
      </c>
      <c r="N13" s="23">
        <v>45.625</v>
      </c>
      <c r="O13" s="23">
        <v>13.735786458333299</v>
      </c>
      <c r="P13" s="23">
        <v>-3.9574945934139798</v>
      </c>
      <c r="Q13" s="23">
        <v>31.889213541666599</v>
      </c>
      <c r="R13" s="23">
        <v>49.582494593413898</v>
      </c>
      <c r="S13" s="23">
        <v>0.85364827156381795</v>
      </c>
      <c r="T13" s="23">
        <v>594.98993512096695</v>
      </c>
      <c r="U13" s="23">
        <v>11.680869859734599</v>
      </c>
      <c r="V13" s="24" t="s">
        <v>39</v>
      </c>
      <c r="W13" s="24" t="s">
        <v>37</v>
      </c>
      <c r="X13" s="24" t="s">
        <v>34</v>
      </c>
      <c r="Y13" s="24">
        <v>-8.4175054065860202</v>
      </c>
      <c r="Z13" s="24">
        <v>-22.417505406585999</v>
      </c>
      <c r="AA13" s="24">
        <v>-37.417505406586002</v>
      </c>
      <c r="AB13" s="24">
        <v>-54.417505406586002</v>
      </c>
      <c r="AC13" s="24">
        <v>-95.417505406586002</v>
      </c>
      <c r="AD13" s="24">
        <v>-178.417505406586</v>
      </c>
    </row>
    <row r="14" spans="1:30">
      <c r="A14" s="41" t="str">
        <f t="shared" si="0"/>
        <v>Retirees2.0 kW5 kWh</v>
      </c>
      <c r="B14">
        <v>12</v>
      </c>
      <c r="C14" s="22">
        <v>365.30416666666599</v>
      </c>
      <c r="D14" s="23">
        <v>1824.99999999999</v>
      </c>
      <c r="E14" s="23">
        <v>2203.02602580645</v>
      </c>
      <c r="F14" s="23">
        <v>1254.2238322580599</v>
      </c>
      <c r="G14" s="23">
        <v>876.197806451612</v>
      </c>
      <c r="H14" s="23">
        <v>547.49999999999898</v>
      </c>
      <c r="I14" s="23">
        <v>75.253429935483794</v>
      </c>
      <c r="J14" s="23">
        <v>209.94124161290301</v>
      </c>
      <c r="K14" s="23">
        <v>134.68781167741901</v>
      </c>
      <c r="L14" s="44">
        <v>412.81218832258003</v>
      </c>
      <c r="M14" s="23">
        <v>45.624999999999901</v>
      </c>
      <c r="N14" s="23">
        <v>45.624999999999901</v>
      </c>
      <c r="O14" s="23">
        <v>21.474927083333299</v>
      </c>
      <c r="P14" s="23">
        <v>11.2239843064516</v>
      </c>
      <c r="Q14" s="23">
        <v>24.150072916666598</v>
      </c>
      <c r="R14" s="23">
        <v>34.401015693548302</v>
      </c>
      <c r="S14" s="23">
        <v>0.56931866331399195</v>
      </c>
      <c r="T14" s="23">
        <v>412.81218832258003</v>
      </c>
      <c r="U14" s="23">
        <v>8.1392945631111502</v>
      </c>
      <c r="V14" s="24" t="s">
        <v>3</v>
      </c>
      <c r="W14" s="24" t="s">
        <v>33</v>
      </c>
      <c r="X14" s="24" t="s">
        <v>34</v>
      </c>
      <c r="Y14" s="24">
        <v>6.4010156935483797</v>
      </c>
      <c r="Z14" s="24">
        <v>-0.59898430645161205</v>
      </c>
      <c r="AA14" s="24">
        <v>-7.5989843064516096</v>
      </c>
      <c r="AB14" s="24">
        <v>-15.5989843064516</v>
      </c>
      <c r="AC14" s="24">
        <v>-35.598984306451598</v>
      </c>
      <c r="AD14" s="24">
        <v>-75.598984306451598</v>
      </c>
    </row>
    <row r="15" spans="1:30">
      <c r="A15" s="41" t="str">
        <f t="shared" si="0"/>
        <v>Retirees3.0 kW5 kWh</v>
      </c>
      <c r="B15">
        <v>13</v>
      </c>
      <c r="C15" s="22">
        <v>365.30416666666599</v>
      </c>
      <c r="D15" s="23">
        <v>1824.99999999999</v>
      </c>
      <c r="E15" s="23">
        <v>3304.53903870967</v>
      </c>
      <c r="F15" s="23">
        <v>2337.2666677419302</v>
      </c>
      <c r="G15" s="23">
        <v>857.72762903225805</v>
      </c>
      <c r="H15" s="23">
        <v>547.49999999999898</v>
      </c>
      <c r="I15" s="23">
        <v>140.23600006451599</v>
      </c>
      <c r="J15" s="23">
        <v>204.607977883064</v>
      </c>
      <c r="K15" s="23">
        <v>64.371977818548302</v>
      </c>
      <c r="L15" s="23">
        <v>483.128022181451</v>
      </c>
      <c r="M15" s="23">
        <v>45.624999999999901</v>
      </c>
      <c r="N15" s="23">
        <v>45.624999999999901</v>
      </c>
      <c r="O15" s="23">
        <v>18.311593749999901</v>
      </c>
      <c r="P15" s="23">
        <v>5.3643314848790302</v>
      </c>
      <c r="Q15" s="23">
        <v>27.31340625</v>
      </c>
      <c r="R15" s="23">
        <v>40.260668515120898</v>
      </c>
      <c r="S15" s="23">
        <v>0.70728977335809196</v>
      </c>
      <c r="T15" s="23">
        <v>483.128022181451</v>
      </c>
      <c r="U15" s="23">
        <v>10.0718645505775</v>
      </c>
      <c r="V15" s="24" t="s">
        <v>3</v>
      </c>
      <c r="W15" s="24" t="s">
        <v>35</v>
      </c>
      <c r="X15" s="24" t="s">
        <v>34</v>
      </c>
      <c r="Y15" s="24">
        <v>-0.739331484879031</v>
      </c>
      <c r="Z15" s="24">
        <v>-10.739331484878999</v>
      </c>
      <c r="AA15" s="24">
        <v>-20.739331484878999</v>
      </c>
      <c r="AB15" s="24">
        <v>-32.739331484879003</v>
      </c>
      <c r="AC15" s="24">
        <v>-60.739331484879003</v>
      </c>
      <c r="AD15" s="24">
        <v>-118.739331484879</v>
      </c>
    </row>
    <row r="16" spans="1:30">
      <c r="A16" s="41" t="str">
        <f t="shared" si="0"/>
        <v>Retirees4.0 kW5 kWh</v>
      </c>
      <c r="B16">
        <v>14</v>
      </c>
      <c r="C16" s="22">
        <v>365.30416666666599</v>
      </c>
      <c r="D16" s="23">
        <v>1824.99999999999</v>
      </c>
      <c r="E16" s="23">
        <v>4406.0520516129</v>
      </c>
      <c r="F16" s="23">
        <v>3434.2395516129</v>
      </c>
      <c r="G16" s="23">
        <v>853.1875</v>
      </c>
      <c r="H16" s="23">
        <v>547.49999999999898</v>
      </c>
      <c r="I16" s="23">
        <v>206.05437309677399</v>
      </c>
      <c r="J16" s="23">
        <v>203.29701562499901</v>
      </c>
      <c r="K16" s="23">
        <v>-2.75735747177422</v>
      </c>
      <c r="L16" s="23">
        <v>550.25735747177396</v>
      </c>
      <c r="M16" s="23">
        <v>45.624999999999901</v>
      </c>
      <c r="N16" s="23">
        <v>45.624999999999901</v>
      </c>
      <c r="O16" s="23">
        <v>15.1482604166666</v>
      </c>
      <c r="P16" s="23">
        <v>-0.22977978931451801</v>
      </c>
      <c r="Q16" s="23">
        <v>30.476739583333298</v>
      </c>
      <c r="R16" s="23">
        <v>45.854779789314499</v>
      </c>
      <c r="S16" s="23">
        <v>0.77943689983320696</v>
      </c>
      <c r="T16" s="23">
        <v>550.25735747177396</v>
      </c>
      <c r="U16" s="23">
        <v>10.934883320135601</v>
      </c>
      <c r="V16" s="24" t="s">
        <v>3</v>
      </c>
      <c r="W16" s="24" t="s">
        <v>36</v>
      </c>
      <c r="X16" s="24" t="s">
        <v>34</v>
      </c>
      <c r="Y16" s="24">
        <v>-4.1452202106854701</v>
      </c>
      <c r="Z16" s="24">
        <v>-17.145220210685402</v>
      </c>
      <c r="AA16" s="24">
        <v>-29.145220210685402</v>
      </c>
      <c r="AB16" s="24">
        <v>-44.145220210685402</v>
      </c>
      <c r="AC16" s="24">
        <v>-79.145220210685395</v>
      </c>
      <c r="AD16" s="24">
        <v>-151.14522021068501</v>
      </c>
    </row>
    <row r="17" spans="1:30">
      <c r="A17" s="41" t="str">
        <f t="shared" si="0"/>
        <v>Retirees5.0 kW5 kWh</v>
      </c>
      <c r="B17">
        <v>15</v>
      </c>
      <c r="C17" s="22">
        <v>365.30416666666599</v>
      </c>
      <c r="D17" s="23">
        <v>1824.99999999999</v>
      </c>
      <c r="E17" s="23">
        <v>5507.5650645161204</v>
      </c>
      <c r="F17" s="23">
        <v>4535.7525645161304</v>
      </c>
      <c r="G17" s="23">
        <v>853.1875</v>
      </c>
      <c r="H17" s="23">
        <v>547.49999999999898</v>
      </c>
      <c r="I17" s="23">
        <v>272.14515387096702</v>
      </c>
      <c r="J17" s="23">
        <v>203.29701562499901</v>
      </c>
      <c r="K17" s="23">
        <v>-68.848138245967704</v>
      </c>
      <c r="L17" s="23">
        <v>616.34813824596699</v>
      </c>
      <c r="M17" s="23">
        <v>45.624999999999901</v>
      </c>
      <c r="N17" s="23">
        <v>45.624999999999901</v>
      </c>
      <c r="O17" s="23">
        <v>11.9849270833333</v>
      </c>
      <c r="P17" s="23">
        <v>-5.7373448538306402</v>
      </c>
      <c r="Q17" s="23">
        <v>33.640072916666597</v>
      </c>
      <c r="R17" s="23">
        <v>51.362344853830599</v>
      </c>
      <c r="S17" s="23">
        <v>0.82354951986656599</v>
      </c>
      <c r="T17" s="23">
        <v>616.34813824596699</v>
      </c>
      <c r="U17" s="23">
        <v>11.2760947405124</v>
      </c>
      <c r="V17" s="24" t="s">
        <v>3</v>
      </c>
      <c r="W17" s="24" t="s">
        <v>37</v>
      </c>
      <c r="X17" s="24" t="s">
        <v>34</v>
      </c>
      <c r="Y17" s="24">
        <v>-6.63765514616935</v>
      </c>
      <c r="Z17" s="24">
        <v>-20.637655146169301</v>
      </c>
      <c r="AA17" s="24">
        <v>-35.637655146169301</v>
      </c>
      <c r="AB17" s="24">
        <v>-52.637655146169301</v>
      </c>
      <c r="AC17" s="24">
        <v>-93.637655146169294</v>
      </c>
      <c r="AD17" s="24">
        <v>-176.63765514616901</v>
      </c>
    </row>
    <row r="18" spans="1:30">
      <c r="A18" s="41" t="str">
        <f t="shared" si="0"/>
        <v>SingleCouple2.0 kW10 kWh</v>
      </c>
      <c r="B18">
        <v>16</v>
      </c>
      <c r="C18" s="22">
        <v>365.30416666666599</v>
      </c>
      <c r="D18" s="23">
        <v>3650</v>
      </c>
      <c r="E18" s="23">
        <v>2203.02602580645</v>
      </c>
      <c r="F18" s="23">
        <v>1523.2850344086</v>
      </c>
      <c r="G18" s="23">
        <v>2970.2590086021501</v>
      </c>
      <c r="H18" s="23">
        <v>1095</v>
      </c>
      <c r="I18" s="23">
        <v>91.397102064516105</v>
      </c>
      <c r="J18" s="23">
        <v>725.16728873387001</v>
      </c>
      <c r="K18" s="23">
        <v>633.77018666935396</v>
      </c>
      <c r="L18" s="23">
        <v>461.22981333064502</v>
      </c>
      <c r="M18" s="23">
        <v>91.25</v>
      </c>
      <c r="N18" s="23">
        <v>91.25</v>
      </c>
      <c r="O18" s="23">
        <v>62.110833333333296</v>
      </c>
      <c r="P18" s="23">
        <v>52.814182222446199</v>
      </c>
      <c r="Q18" s="23">
        <v>29.1391666666666</v>
      </c>
      <c r="R18" s="23">
        <v>38.435817777553702</v>
      </c>
      <c r="S18" s="23">
        <v>0.69145122053244001</v>
      </c>
      <c r="T18" s="23">
        <v>461.22981333064502</v>
      </c>
      <c r="U18" s="23">
        <v>7.2848716689337003</v>
      </c>
      <c r="V18" s="24" t="s">
        <v>32</v>
      </c>
      <c r="W18" s="24" t="s">
        <v>33</v>
      </c>
      <c r="X18" s="24" t="s">
        <v>40</v>
      </c>
      <c r="Y18" s="24">
        <v>10.4358177775537</v>
      </c>
      <c r="Z18" s="24">
        <v>3.4358177775537699</v>
      </c>
      <c r="AA18" s="24">
        <v>-3.5641822224462198</v>
      </c>
      <c r="AB18" s="24">
        <v>-11.564182222446201</v>
      </c>
      <c r="AC18" s="24">
        <v>-31.564182222446199</v>
      </c>
      <c r="AD18" s="24">
        <v>-71.564182222446206</v>
      </c>
    </row>
    <row r="19" spans="1:30">
      <c r="A19" s="41" t="str">
        <f t="shared" si="0"/>
        <v>SingleCouple3.0 kW10 kWh</v>
      </c>
      <c r="B19">
        <v>17</v>
      </c>
      <c r="C19" s="22">
        <v>365.30416666666599</v>
      </c>
      <c r="D19" s="23">
        <v>3650</v>
      </c>
      <c r="E19" s="23">
        <v>3304.53903870967</v>
      </c>
      <c r="F19" s="23">
        <v>2573.8858849462299</v>
      </c>
      <c r="G19" s="23">
        <v>2919.3468462365599</v>
      </c>
      <c r="H19" s="23">
        <v>1095</v>
      </c>
      <c r="I19" s="23">
        <v>154.43315309677399</v>
      </c>
      <c r="J19" s="23">
        <v>710.46640185080605</v>
      </c>
      <c r="K19" s="23">
        <v>556.033248754032</v>
      </c>
      <c r="L19" s="23">
        <v>538.96675124596698</v>
      </c>
      <c r="M19" s="23">
        <v>91.25</v>
      </c>
      <c r="N19" s="23">
        <v>91.25</v>
      </c>
      <c r="O19" s="23">
        <v>58.947499999999899</v>
      </c>
      <c r="P19" s="23">
        <v>46.336104062836</v>
      </c>
      <c r="Q19" s="23">
        <v>32.302500000000002</v>
      </c>
      <c r="R19" s="23">
        <v>44.9138959371639</v>
      </c>
      <c r="S19" s="23">
        <v>0.77889407714525305</v>
      </c>
      <c r="T19" s="23">
        <v>538.96675124596698</v>
      </c>
      <c r="U19" s="23">
        <v>9.0283862385776494</v>
      </c>
      <c r="V19" s="24" t="s">
        <v>32</v>
      </c>
      <c r="W19" s="24" t="s">
        <v>35</v>
      </c>
      <c r="X19" s="24" t="s">
        <v>40</v>
      </c>
      <c r="Y19" s="24">
        <v>3.9138959371639799</v>
      </c>
      <c r="Z19" s="24">
        <v>-6.0861040628360099</v>
      </c>
      <c r="AA19" s="24">
        <v>-16.086104062836</v>
      </c>
      <c r="AB19" s="24">
        <v>-28.086104062836</v>
      </c>
      <c r="AC19" s="24">
        <v>-56.086104062836</v>
      </c>
      <c r="AD19" s="24">
        <v>-114.086104062836</v>
      </c>
    </row>
    <row r="20" spans="1:30">
      <c r="A20" s="41" t="str">
        <f t="shared" si="0"/>
        <v>SingleCouple4.0 kW10 kWh</v>
      </c>
      <c r="B20">
        <v>18</v>
      </c>
      <c r="C20" s="22">
        <v>365.30416666666599</v>
      </c>
      <c r="D20" s="23">
        <v>3650</v>
      </c>
      <c r="E20" s="23">
        <v>4406.0520516129</v>
      </c>
      <c r="F20" s="23">
        <v>3624.4867354838698</v>
      </c>
      <c r="G20" s="23">
        <v>2868.4346838709598</v>
      </c>
      <c r="H20" s="23">
        <v>1095</v>
      </c>
      <c r="I20" s="23">
        <v>217.46920412903199</v>
      </c>
      <c r="J20" s="23">
        <v>695.76551496774096</v>
      </c>
      <c r="K20" s="23">
        <v>478.29631083870902</v>
      </c>
      <c r="L20" s="23">
        <v>616.70368916128996</v>
      </c>
      <c r="M20" s="23">
        <v>91.25</v>
      </c>
      <c r="N20" s="23">
        <v>91.25</v>
      </c>
      <c r="O20" s="23">
        <v>55.7841666666666</v>
      </c>
      <c r="P20" s="23">
        <v>39.858025903225801</v>
      </c>
      <c r="Q20" s="23">
        <v>35.4658333333333</v>
      </c>
      <c r="R20" s="23">
        <v>51.391974096774199</v>
      </c>
      <c r="S20" s="23">
        <v>0.82261550545165996</v>
      </c>
      <c r="T20" s="23">
        <v>616.70368916128996</v>
      </c>
      <c r="U20" s="23">
        <v>9.7567115387019108</v>
      </c>
      <c r="V20" s="24" t="s">
        <v>32</v>
      </c>
      <c r="W20" s="24" t="s">
        <v>36</v>
      </c>
      <c r="X20" s="24" t="s">
        <v>40</v>
      </c>
      <c r="Y20" s="24">
        <v>1.39197409677419</v>
      </c>
      <c r="Z20" s="24">
        <v>-11.6080259032258</v>
      </c>
      <c r="AA20" s="24">
        <v>-23.608025903225801</v>
      </c>
      <c r="AB20" s="24">
        <v>-38.608025903225801</v>
      </c>
      <c r="AC20" s="24">
        <v>-73.608025903225794</v>
      </c>
      <c r="AD20" s="24">
        <v>-145.60802590322501</v>
      </c>
    </row>
    <row r="21" spans="1:30">
      <c r="A21" s="41" t="str">
        <f t="shared" si="0"/>
        <v>SingleCouple5.0 kW10 kWh</v>
      </c>
      <c r="B21">
        <v>19</v>
      </c>
      <c r="C21" s="22">
        <v>365.30416666666599</v>
      </c>
      <c r="D21" s="23">
        <v>3650</v>
      </c>
      <c r="E21" s="23">
        <v>5507.5650645161204</v>
      </c>
      <c r="F21" s="23">
        <v>4686.6969408602099</v>
      </c>
      <c r="G21" s="23">
        <v>2829.13187634408</v>
      </c>
      <c r="H21" s="23">
        <v>1095</v>
      </c>
      <c r="I21" s="23">
        <v>281.20181645161199</v>
      </c>
      <c r="J21" s="23">
        <v>684.41682929435399</v>
      </c>
      <c r="K21" s="23">
        <v>403.21501284274098</v>
      </c>
      <c r="L21" s="23">
        <v>691.784987157258</v>
      </c>
      <c r="M21" s="23">
        <v>91.25</v>
      </c>
      <c r="N21" s="23">
        <v>91.25</v>
      </c>
      <c r="O21" s="23">
        <v>52.620833333333302</v>
      </c>
      <c r="P21" s="23">
        <v>33.6012510702284</v>
      </c>
      <c r="Q21" s="23">
        <v>38.629166666666599</v>
      </c>
      <c r="R21" s="23">
        <v>57.6487489297715</v>
      </c>
      <c r="S21" s="23">
        <v>0.85095625488937698</v>
      </c>
      <c r="T21" s="23">
        <v>691.784987157258</v>
      </c>
      <c r="U21" s="23">
        <v>10.046474163250499</v>
      </c>
      <c r="V21" s="24" t="s">
        <v>32</v>
      </c>
      <c r="W21" s="24" t="s">
        <v>37</v>
      </c>
      <c r="X21" s="24" t="s">
        <v>40</v>
      </c>
      <c r="Y21" s="24">
        <v>-0.35125107022847801</v>
      </c>
      <c r="Z21" s="24">
        <v>-14.3512510702284</v>
      </c>
      <c r="AA21" s="24">
        <v>-29.3512510702284</v>
      </c>
      <c r="AB21" s="24">
        <v>-46.3512510702284</v>
      </c>
      <c r="AC21" s="24">
        <v>-87.3512510702284</v>
      </c>
      <c r="AD21" s="24">
        <v>-170.35125107022799</v>
      </c>
    </row>
    <row r="22" spans="1:30">
      <c r="A22" s="41" t="str">
        <f t="shared" si="0"/>
        <v>FamilyType12.0 kW10 kWh</v>
      </c>
      <c r="B22">
        <v>20</v>
      </c>
      <c r="C22" s="22">
        <v>365.30416666666599</v>
      </c>
      <c r="D22" s="23">
        <v>3650</v>
      </c>
      <c r="E22" s="23">
        <v>2203.02602580645</v>
      </c>
      <c r="F22" s="23">
        <v>1274.98885232974</v>
      </c>
      <c r="G22" s="23">
        <v>2721.96282652329</v>
      </c>
      <c r="H22" s="23">
        <v>1094.99999999999</v>
      </c>
      <c r="I22" s="23">
        <v>76.4993311397849</v>
      </c>
      <c r="J22" s="23">
        <v>660.09651615860196</v>
      </c>
      <c r="K22" s="23">
        <v>583.59718501881696</v>
      </c>
      <c r="L22" s="23">
        <v>511.40281498118202</v>
      </c>
      <c r="M22" s="23">
        <v>91.249999999999901</v>
      </c>
      <c r="N22" s="23">
        <v>91.249999999999901</v>
      </c>
      <c r="O22" s="23">
        <v>61.666537083333303</v>
      </c>
      <c r="P22" s="23">
        <v>48.633098751568099</v>
      </c>
      <c r="Q22" s="23">
        <v>29.583462916666601</v>
      </c>
      <c r="R22" s="23">
        <v>42.616901248431901</v>
      </c>
      <c r="S22" s="23">
        <v>0.57874434409508102</v>
      </c>
      <c r="T22" s="23">
        <v>511.40281498118202</v>
      </c>
      <c r="U22" s="23">
        <v>6.57016328727802</v>
      </c>
      <c r="V22" s="24" t="s">
        <v>38</v>
      </c>
      <c r="W22" s="24" t="s">
        <v>33</v>
      </c>
      <c r="X22" s="24" t="s">
        <v>40</v>
      </c>
      <c r="Y22" s="24">
        <v>14.616901248431899</v>
      </c>
      <c r="Z22" s="24">
        <v>7.6169012484319003</v>
      </c>
      <c r="AA22" s="24">
        <v>0.61690124843190097</v>
      </c>
      <c r="AB22" s="24">
        <v>-7.3830987515680899</v>
      </c>
      <c r="AC22" s="24">
        <v>-27.383098751568099</v>
      </c>
      <c r="AD22" s="24">
        <v>-67.383098751568099</v>
      </c>
    </row>
    <row r="23" spans="1:30">
      <c r="A23" s="41" t="str">
        <f t="shared" si="0"/>
        <v>FamilyType13.0 kW10 kWh</v>
      </c>
      <c r="B23">
        <v>21</v>
      </c>
      <c r="C23" s="22">
        <v>365.30416666666599</v>
      </c>
      <c r="D23" s="23">
        <v>3650</v>
      </c>
      <c r="E23" s="23">
        <v>3304.53903870967</v>
      </c>
      <c r="F23" s="23">
        <v>2235.4134569892399</v>
      </c>
      <c r="G23" s="23">
        <v>2580.8744182795699</v>
      </c>
      <c r="H23" s="23">
        <v>1094.99999999999</v>
      </c>
      <c r="I23" s="23">
        <v>134.124807419354</v>
      </c>
      <c r="J23" s="23">
        <v>619.35723827822505</v>
      </c>
      <c r="K23" s="23">
        <v>485.23243085886998</v>
      </c>
      <c r="L23" s="23">
        <v>609.767569141129</v>
      </c>
      <c r="M23" s="23">
        <v>91.249999999999901</v>
      </c>
      <c r="N23" s="23">
        <v>91.249999999999901</v>
      </c>
      <c r="O23" s="23">
        <v>57.309243124999902</v>
      </c>
      <c r="P23" s="23">
        <v>40.4360359049059</v>
      </c>
      <c r="Q23" s="23">
        <v>33.940756874999998</v>
      </c>
      <c r="R23" s="23">
        <v>50.813964095094001</v>
      </c>
      <c r="S23" s="23">
        <v>0.676467558955547</v>
      </c>
      <c r="T23" s="23">
        <v>609.76756914112798</v>
      </c>
      <c r="U23" s="23">
        <v>7.9800898674454999</v>
      </c>
      <c r="V23" s="24" t="s">
        <v>38</v>
      </c>
      <c r="W23" s="24" t="s">
        <v>35</v>
      </c>
      <c r="X23" s="24" t="s">
        <v>40</v>
      </c>
      <c r="Y23" s="24">
        <v>9.8139640950940805</v>
      </c>
      <c r="Z23" s="24">
        <v>-0.18603590490591401</v>
      </c>
      <c r="AA23" s="24">
        <v>-10.1860359049059</v>
      </c>
      <c r="AB23" s="24">
        <v>-22.1860359049059</v>
      </c>
      <c r="AC23" s="24">
        <v>-50.1860359049059</v>
      </c>
      <c r="AD23" s="24">
        <v>-108.186035904905</v>
      </c>
    </row>
    <row r="24" spans="1:30">
      <c r="A24" s="41" t="str">
        <f t="shared" si="0"/>
        <v>FamilyType14.0 kW10 kWh</v>
      </c>
      <c r="B24">
        <v>22</v>
      </c>
      <c r="C24" s="22">
        <v>365.30416666666599</v>
      </c>
      <c r="D24" s="23">
        <v>3650</v>
      </c>
      <c r="E24" s="23">
        <v>4406.0520516129</v>
      </c>
      <c r="F24" s="23">
        <v>3246.5062365591398</v>
      </c>
      <c r="G24" s="23">
        <v>2490.4541849462298</v>
      </c>
      <c r="H24" s="23">
        <v>1094.99999999999</v>
      </c>
      <c r="I24" s="23">
        <v>194.79037419354799</v>
      </c>
      <c r="J24" s="23">
        <v>593.24839590322495</v>
      </c>
      <c r="K24" s="23">
        <v>398.45802170967698</v>
      </c>
      <c r="L24" s="23">
        <v>696.54197829032205</v>
      </c>
      <c r="M24" s="23">
        <v>91.249999999999901</v>
      </c>
      <c r="N24" s="23">
        <v>91.249999999999901</v>
      </c>
      <c r="O24" s="23">
        <v>52.951949166666601</v>
      </c>
      <c r="P24" s="23">
        <v>33.204835142473101</v>
      </c>
      <c r="Q24" s="23">
        <v>38.298050833333299</v>
      </c>
      <c r="R24" s="23">
        <v>58.0451648575268</v>
      </c>
      <c r="S24" s="23">
        <v>0.73682884326586795</v>
      </c>
      <c r="T24" s="23">
        <v>696.54197829032205</v>
      </c>
      <c r="U24" s="23">
        <v>8.6383881912887102</v>
      </c>
      <c r="V24" s="24" t="s">
        <v>38</v>
      </c>
      <c r="W24" s="24" t="s">
        <v>36</v>
      </c>
      <c r="X24" s="24" t="s">
        <v>40</v>
      </c>
      <c r="Y24" s="24">
        <v>8.0451648575268795</v>
      </c>
      <c r="Z24" s="24">
        <v>-4.9548351424731099</v>
      </c>
      <c r="AA24" s="24">
        <v>-16.954835142473101</v>
      </c>
      <c r="AB24" s="24">
        <v>-31.954835142473101</v>
      </c>
      <c r="AC24" s="24">
        <v>-66.954835142473101</v>
      </c>
      <c r="AD24" s="24">
        <v>-138.954835142473</v>
      </c>
    </row>
    <row r="25" spans="1:30">
      <c r="A25" s="41" t="str">
        <f t="shared" si="0"/>
        <v>FamilyType15.0 kW10 kWh</v>
      </c>
      <c r="B25">
        <v>23</v>
      </c>
      <c r="C25" s="22">
        <v>365.30416666666599</v>
      </c>
      <c r="D25" s="23">
        <v>3650</v>
      </c>
      <c r="E25" s="23">
        <v>5507.5650645161204</v>
      </c>
      <c r="F25" s="23">
        <v>4296.5590376343998</v>
      </c>
      <c r="G25" s="23">
        <v>2438.9939731182699</v>
      </c>
      <c r="H25" s="23">
        <v>1094.99999999999</v>
      </c>
      <c r="I25" s="23">
        <v>257.79354225806401</v>
      </c>
      <c r="J25" s="23">
        <v>578.38925973790299</v>
      </c>
      <c r="K25" s="23">
        <v>320.59571747983802</v>
      </c>
      <c r="L25" s="23">
        <v>774.40428252016102</v>
      </c>
      <c r="M25" s="23">
        <v>91.249999999999901</v>
      </c>
      <c r="N25" s="23">
        <v>91.249999999999901</v>
      </c>
      <c r="O25" s="23">
        <v>49.693989583333298</v>
      </c>
      <c r="P25" s="23">
        <v>26.7163097899865</v>
      </c>
      <c r="Q25" s="23">
        <v>41.556010416666602</v>
      </c>
      <c r="R25" s="23">
        <v>64.533690210013404</v>
      </c>
      <c r="S25" s="23">
        <v>0.78011952420064301</v>
      </c>
      <c r="T25" s="23">
        <v>774.40428252016102</v>
      </c>
      <c r="U25" s="23">
        <v>8.9746404518612106</v>
      </c>
      <c r="V25" s="24" t="s">
        <v>38</v>
      </c>
      <c r="W25" s="24" t="s">
        <v>37</v>
      </c>
      <c r="X25" s="24" t="s">
        <v>40</v>
      </c>
      <c r="Y25" s="24">
        <v>6.53369021001346</v>
      </c>
      <c r="Z25" s="24">
        <v>-7.4663097899865303</v>
      </c>
      <c r="AA25" s="24">
        <v>-22.4663097899865</v>
      </c>
      <c r="AB25" s="24">
        <v>-39.466309789986497</v>
      </c>
      <c r="AC25" s="24">
        <v>-80.466309789986497</v>
      </c>
      <c r="AD25" s="24">
        <v>-163.46630978998601</v>
      </c>
    </row>
    <row r="26" spans="1:30">
      <c r="A26" s="41" t="str">
        <f t="shared" si="0"/>
        <v>FamilyType22.0 kW10 kWh</v>
      </c>
      <c r="B26">
        <v>24</v>
      </c>
      <c r="C26" s="22">
        <v>365.30416666666599</v>
      </c>
      <c r="D26" s="23">
        <v>3650</v>
      </c>
      <c r="E26" s="23">
        <v>2203.02602580645</v>
      </c>
      <c r="F26" s="23">
        <v>868.20694910394195</v>
      </c>
      <c r="G26" s="23">
        <v>2315.1809232974902</v>
      </c>
      <c r="H26" s="23">
        <v>1095</v>
      </c>
      <c r="I26" s="23">
        <v>52.092416946236497</v>
      </c>
      <c r="J26" s="23">
        <v>549.26299160215001</v>
      </c>
      <c r="K26" s="23">
        <v>497.17057465591301</v>
      </c>
      <c r="L26" s="23">
        <v>597.82942534408596</v>
      </c>
      <c r="M26" s="23">
        <v>91.25</v>
      </c>
      <c r="N26" s="23">
        <v>91.25</v>
      </c>
      <c r="O26" s="23">
        <v>55.655990833333298</v>
      </c>
      <c r="P26" s="23">
        <v>41.430881221326104</v>
      </c>
      <c r="Q26" s="23">
        <v>35.594009166666602</v>
      </c>
      <c r="R26" s="23">
        <v>49.819118778673797</v>
      </c>
      <c r="S26" s="23">
        <v>0.39409745456189998</v>
      </c>
      <c r="T26" s="23">
        <v>597.82942534408596</v>
      </c>
      <c r="U26" s="23">
        <v>5.62033225123725</v>
      </c>
      <c r="V26" s="24" t="s">
        <v>39</v>
      </c>
      <c r="W26" s="24" t="s">
        <v>33</v>
      </c>
      <c r="X26" s="24" t="s">
        <v>40</v>
      </c>
      <c r="Y26" s="24">
        <v>21.819118778673801</v>
      </c>
      <c r="Z26" s="24">
        <v>14.819118778673801</v>
      </c>
      <c r="AA26" s="24">
        <v>7.8191187786738299</v>
      </c>
      <c r="AB26" s="24">
        <v>-0.18088122132616699</v>
      </c>
      <c r="AC26" s="24">
        <v>-20.1808812213261</v>
      </c>
      <c r="AD26" s="24">
        <v>-60.180881221326104</v>
      </c>
    </row>
    <row r="27" spans="1:30">
      <c r="A27" s="41" t="str">
        <f t="shared" si="0"/>
        <v>FamilyType23.0 kW10 kWh</v>
      </c>
      <c r="B27">
        <v>25</v>
      </c>
      <c r="C27" s="22">
        <v>365.30416666666599</v>
      </c>
      <c r="D27" s="23">
        <v>3650</v>
      </c>
      <c r="E27" s="23">
        <v>3304.53903870967</v>
      </c>
      <c r="F27" s="23">
        <v>1825.18799462365</v>
      </c>
      <c r="G27" s="23">
        <v>2170.64895591397</v>
      </c>
      <c r="H27" s="23">
        <v>1095</v>
      </c>
      <c r="I27" s="23">
        <v>109.511279677419</v>
      </c>
      <c r="J27" s="23">
        <v>507.52938602016098</v>
      </c>
      <c r="K27" s="23">
        <v>398.01810634274102</v>
      </c>
      <c r="L27" s="23">
        <v>696.98189365725796</v>
      </c>
      <c r="M27" s="23">
        <v>91.25</v>
      </c>
      <c r="N27" s="23">
        <v>91.25</v>
      </c>
      <c r="O27" s="23">
        <v>50.903493124999997</v>
      </c>
      <c r="P27" s="23">
        <v>33.168175528561797</v>
      </c>
      <c r="Q27" s="23">
        <v>40.346506875000003</v>
      </c>
      <c r="R27" s="23">
        <v>58.081824471438097</v>
      </c>
      <c r="S27" s="23">
        <v>0.55232756316183096</v>
      </c>
      <c r="T27" s="23">
        <v>696.98189365725796</v>
      </c>
      <c r="U27" s="23">
        <v>6.9815299999641898</v>
      </c>
      <c r="V27" s="24" t="s">
        <v>39</v>
      </c>
      <c r="W27" s="24" t="s">
        <v>35</v>
      </c>
      <c r="X27" s="24" t="s">
        <v>40</v>
      </c>
      <c r="Y27" s="24">
        <v>17.0818244714381</v>
      </c>
      <c r="Z27" s="24">
        <v>7.0818244714381704</v>
      </c>
      <c r="AA27" s="24">
        <v>-2.9181755285618198</v>
      </c>
      <c r="AB27" s="24">
        <v>-14.9181755285618</v>
      </c>
      <c r="AC27" s="24">
        <v>-42.918175528561797</v>
      </c>
      <c r="AD27" s="24">
        <v>-100.91817552856099</v>
      </c>
    </row>
    <row r="28" spans="1:30">
      <c r="A28" s="41" t="str">
        <f t="shared" si="0"/>
        <v>FamilyType24.0 kW10 kWh</v>
      </c>
      <c r="B28">
        <v>26</v>
      </c>
      <c r="C28" s="22">
        <v>365.30416666666599</v>
      </c>
      <c r="D28" s="23">
        <v>3650</v>
      </c>
      <c r="E28" s="23">
        <v>4406.0520516129</v>
      </c>
      <c r="F28" s="23">
        <v>2854.7998537634398</v>
      </c>
      <c r="G28" s="23">
        <v>2098.7478021505299</v>
      </c>
      <c r="H28" s="23">
        <v>1095</v>
      </c>
      <c r="I28" s="23">
        <v>171.287991225806</v>
      </c>
      <c r="J28" s="23">
        <v>486.76792787096701</v>
      </c>
      <c r="K28" s="23">
        <v>315.47993664516099</v>
      </c>
      <c r="L28" s="23">
        <v>779.52006335483895</v>
      </c>
      <c r="M28" s="23">
        <v>91.25</v>
      </c>
      <c r="N28" s="23">
        <v>91.25</v>
      </c>
      <c r="O28" s="23">
        <v>46.546199166666597</v>
      </c>
      <c r="P28" s="23">
        <v>26.289994720430101</v>
      </c>
      <c r="Q28" s="23">
        <v>44.703800833333297</v>
      </c>
      <c r="R28" s="23">
        <v>64.960005279569899</v>
      </c>
      <c r="S28" s="23">
        <v>0.64792694691802299</v>
      </c>
      <c r="T28" s="23">
        <v>779.52006335483804</v>
      </c>
      <c r="U28" s="23">
        <v>7.7188519999145297</v>
      </c>
      <c r="V28" s="24" t="s">
        <v>39</v>
      </c>
      <c r="W28" s="24" t="s">
        <v>36</v>
      </c>
      <c r="X28" s="24" t="s">
        <v>40</v>
      </c>
      <c r="Y28" s="24">
        <v>14.9600052795699</v>
      </c>
      <c r="Z28" s="24">
        <v>1.9600052795699101</v>
      </c>
      <c r="AA28" s="24">
        <v>-10.03999472043</v>
      </c>
      <c r="AB28" s="24">
        <v>-25.039994720429998</v>
      </c>
      <c r="AC28" s="24">
        <v>-60.039994720430002</v>
      </c>
      <c r="AD28" s="24">
        <v>-132.03999472043</v>
      </c>
    </row>
    <row r="29" spans="1:30">
      <c r="A29" s="41" t="str">
        <f t="shared" si="0"/>
        <v>FamilyType25.0 kW10 kWh</v>
      </c>
      <c r="B29">
        <v>27</v>
      </c>
      <c r="C29" s="22">
        <v>365.30416666666599</v>
      </c>
      <c r="D29" s="23">
        <v>3650</v>
      </c>
      <c r="E29" s="23">
        <v>5507.5650645161204</v>
      </c>
      <c r="F29" s="23">
        <v>3921.9775913978501</v>
      </c>
      <c r="G29" s="23">
        <v>2064.4125268817202</v>
      </c>
      <c r="H29" s="23">
        <v>1095</v>
      </c>
      <c r="I29" s="23">
        <v>235.318655483871</v>
      </c>
      <c r="J29" s="23">
        <v>476.85361713709602</v>
      </c>
      <c r="K29" s="23">
        <v>241.534961653225</v>
      </c>
      <c r="L29" s="23">
        <v>853.46503834677401</v>
      </c>
      <c r="M29" s="23">
        <v>91.25</v>
      </c>
      <c r="N29" s="23">
        <v>91.25</v>
      </c>
      <c r="O29" s="23">
        <v>43.288239583333301</v>
      </c>
      <c r="P29" s="23">
        <v>20.127913471102101</v>
      </c>
      <c r="Q29" s="23">
        <v>47.9617604166666</v>
      </c>
      <c r="R29" s="23">
        <v>71.122086528897796</v>
      </c>
      <c r="S29" s="23">
        <v>0.71210735514795298</v>
      </c>
      <c r="T29" s="23">
        <v>853.46503834677401</v>
      </c>
      <c r="U29" s="23">
        <v>8.1432744022680392</v>
      </c>
      <c r="V29" s="24" t="s">
        <v>39</v>
      </c>
      <c r="W29" s="24" t="s">
        <v>37</v>
      </c>
      <c r="X29" s="24" t="s">
        <v>40</v>
      </c>
      <c r="Y29" s="24">
        <v>13.1220865288978</v>
      </c>
      <c r="Z29" s="24">
        <v>-0.87791347110213203</v>
      </c>
      <c r="AA29" s="24">
        <v>-15.877913471102101</v>
      </c>
      <c r="AB29" s="24">
        <v>-32.877913471102097</v>
      </c>
      <c r="AC29" s="24">
        <v>-73.877913471102104</v>
      </c>
      <c r="AD29" s="24">
        <v>-156.877913471102</v>
      </c>
    </row>
    <row r="30" spans="1:30">
      <c r="A30" s="41" t="str">
        <f t="shared" si="0"/>
        <v>Retirees2.0 kW10 kWh</v>
      </c>
      <c r="B30">
        <v>28</v>
      </c>
      <c r="C30" s="22">
        <v>365.30416666666599</v>
      </c>
      <c r="D30" s="23">
        <v>3649.99999999999</v>
      </c>
      <c r="E30" s="23">
        <v>2203.02602580645</v>
      </c>
      <c r="F30" s="23">
        <v>524.60123440860195</v>
      </c>
      <c r="G30" s="23">
        <v>1971.57520860215</v>
      </c>
      <c r="H30" s="23">
        <v>1094.99999999999</v>
      </c>
      <c r="I30" s="23">
        <v>31.476074064516101</v>
      </c>
      <c r="J30" s="23">
        <v>483.17059148387</v>
      </c>
      <c r="K30" s="23">
        <v>451.69451741935399</v>
      </c>
      <c r="L30" s="23">
        <v>643.30548258064505</v>
      </c>
      <c r="M30" s="23">
        <v>91.249999999999901</v>
      </c>
      <c r="N30" s="23">
        <v>91.249999999999901</v>
      </c>
      <c r="O30" s="23">
        <v>52.8500533333333</v>
      </c>
      <c r="P30" s="23">
        <v>37.641209784946199</v>
      </c>
      <c r="Q30" s="23">
        <v>38.399946666666601</v>
      </c>
      <c r="R30" s="23">
        <v>53.608790215053702</v>
      </c>
      <c r="S30" s="23">
        <v>0.23812757010737701</v>
      </c>
      <c r="T30" s="23">
        <v>643.30548258064505</v>
      </c>
      <c r="U30" s="23">
        <v>5.2230240390944997</v>
      </c>
      <c r="V30" s="24" t="s">
        <v>3</v>
      </c>
      <c r="W30" s="24" t="s">
        <v>33</v>
      </c>
      <c r="X30" s="24" t="s">
        <v>40</v>
      </c>
      <c r="Y30" s="24">
        <v>25.608790215053698</v>
      </c>
      <c r="Z30" s="24">
        <v>18.608790215053698</v>
      </c>
      <c r="AA30" s="24">
        <v>11.6087902150537</v>
      </c>
      <c r="AB30" s="24">
        <v>3.6087902150537698</v>
      </c>
      <c r="AC30" s="24">
        <v>-16.391209784946199</v>
      </c>
      <c r="AD30" s="24">
        <v>-56.391209784946199</v>
      </c>
    </row>
    <row r="31" spans="1:30">
      <c r="A31" s="41" t="str">
        <f t="shared" si="0"/>
        <v>Retirees3.0 kW10 kWh</v>
      </c>
      <c r="B31">
        <v>29</v>
      </c>
      <c r="C31" s="22">
        <v>365.30416666666599</v>
      </c>
      <c r="D31" s="23">
        <v>3649.99999999999</v>
      </c>
      <c r="E31" s="23">
        <v>3304.53903870967</v>
      </c>
      <c r="F31" s="23">
        <v>1473.3213225806401</v>
      </c>
      <c r="G31" s="23">
        <v>1818.7822838709601</v>
      </c>
      <c r="H31" s="23">
        <v>1094.99999999999</v>
      </c>
      <c r="I31" s="23">
        <v>88.399279354838697</v>
      </c>
      <c r="J31" s="23">
        <v>439.051634467741</v>
      </c>
      <c r="K31" s="23">
        <v>350.65235511290302</v>
      </c>
      <c r="L31" s="23">
        <v>744.34764488709595</v>
      </c>
      <c r="M31" s="23">
        <v>91.249999999999901</v>
      </c>
      <c r="N31" s="23">
        <v>91.249999999999901</v>
      </c>
      <c r="O31" s="23">
        <v>47.298798749999897</v>
      </c>
      <c r="P31" s="23">
        <v>29.2210295927419</v>
      </c>
      <c r="Q31" s="23">
        <v>43.951201249999997</v>
      </c>
      <c r="R31" s="23">
        <v>62.028970407258001</v>
      </c>
      <c r="S31" s="23">
        <v>0.445847758287017</v>
      </c>
      <c r="T31" s="23">
        <v>744.34764488709595</v>
      </c>
      <c r="U31" s="23">
        <v>6.5372679465360202</v>
      </c>
      <c r="V31" s="24" t="s">
        <v>3</v>
      </c>
      <c r="W31" s="24" t="s">
        <v>35</v>
      </c>
      <c r="X31" s="24" t="s">
        <v>40</v>
      </c>
      <c r="Y31" s="24">
        <v>21.028970407258001</v>
      </c>
      <c r="Z31" s="24">
        <v>11.028970407258001</v>
      </c>
      <c r="AA31" s="24">
        <v>1.0289704072580701</v>
      </c>
      <c r="AB31" s="24">
        <v>-10.9710295927419</v>
      </c>
      <c r="AC31" s="24">
        <v>-38.9710295927419</v>
      </c>
      <c r="AD31" s="24">
        <v>-96.9710295927419</v>
      </c>
    </row>
    <row r="32" spans="1:30">
      <c r="A32" s="41" t="str">
        <f t="shared" si="0"/>
        <v>Retirees4.0 kW10 kWh</v>
      </c>
      <c r="B32">
        <v>30</v>
      </c>
      <c r="C32" s="22">
        <v>365.30416666666599</v>
      </c>
      <c r="D32" s="23">
        <v>3649.99999999999</v>
      </c>
      <c r="E32" s="23">
        <v>4406.0520516129</v>
      </c>
      <c r="F32" s="23">
        <v>2508.4476645161299</v>
      </c>
      <c r="G32" s="23">
        <v>1752.3956129032199</v>
      </c>
      <c r="H32" s="23">
        <v>1094.99999999999</v>
      </c>
      <c r="I32" s="23">
        <v>150.50685987096699</v>
      </c>
      <c r="J32" s="23">
        <v>419.88248322580603</v>
      </c>
      <c r="K32" s="23">
        <v>269.37562335483801</v>
      </c>
      <c r="L32" s="23">
        <v>825.62437664516096</v>
      </c>
      <c r="M32" s="23">
        <v>91.249999999999901</v>
      </c>
      <c r="N32" s="23">
        <v>91.249999999999901</v>
      </c>
      <c r="O32" s="23">
        <v>42.949854166666597</v>
      </c>
      <c r="P32" s="23">
        <v>22.4479686129032</v>
      </c>
      <c r="Q32" s="23">
        <v>48.300145833333303</v>
      </c>
      <c r="R32" s="23">
        <v>68.802031387096704</v>
      </c>
      <c r="S32" s="23">
        <v>0.56931866331399195</v>
      </c>
      <c r="T32" s="23">
        <v>825.62437664516096</v>
      </c>
      <c r="U32" s="23">
        <v>7.2878177658094998</v>
      </c>
      <c r="V32" s="24" t="s">
        <v>3</v>
      </c>
      <c r="W32" s="24" t="s">
        <v>36</v>
      </c>
      <c r="X32" s="24" t="s">
        <v>40</v>
      </c>
      <c r="Y32" s="24">
        <v>18.802031387096701</v>
      </c>
      <c r="Z32" s="24">
        <v>5.8020313870967701</v>
      </c>
      <c r="AA32" s="24">
        <v>-6.1979686129032201</v>
      </c>
      <c r="AB32" s="24">
        <v>-21.1979686129032</v>
      </c>
      <c r="AC32" s="24">
        <v>-56.197968612903203</v>
      </c>
      <c r="AD32" s="24">
        <v>-128.197968612903</v>
      </c>
    </row>
    <row r="33" spans="1:30">
      <c r="A33" s="41" t="str">
        <f t="shared" si="0"/>
        <v>Retirees5.0 kW10 kWh</v>
      </c>
      <c r="B33">
        <v>31</v>
      </c>
      <c r="C33" s="22">
        <v>365.30416666666599</v>
      </c>
      <c r="D33" s="23">
        <v>3649.99999999999</v>
      </c>
      <c r="E33" s="23">
        <v>5507.5650645161204</v>
      </c>
      <c r="F33" s="23">
        <v>3588.14780645161</v>
      </c>
      <c r="G33" s="23">
        <v>1730.58274193548</v>
      </c>
      <c r="H33" s="23">
        <v>1094.99999999999</v>
      </c>
      <c r="I33" s="23">
        <v>215.28886838709599</v>
      </c>
      <c r="J33" s="23">
        <v>413.58401673386999</v>
      </c>
      <c r="K33" s="23">
        <v>198.295148346774</v>
      </c>
      <c r="L33" s="23">
        <v>896.70485165322498</v>
      </c>
      <c r="M33" s="23">
        <v>91.249999999999901</v>
      </c>
      <c r="N33" s="23">
        <v>91.249999999999901</v>
      </c>
      <c r="O33" s="23">
        <v>39.786520833333299</v>
      </c>
      <c r="P33" s="23">
        <v>16.5245956955645</v>
      </c>
      <c r="Q33" s="23">
        <v>51.463479166666602</v>
      </c>
      <c r="R33" s="23">
        <v>74.7254043044355</v>
      </c>
      <c r="S33" s="23">
        <v>0.65149440168563</v>
      </c>
      <c r="T33" s="23">
        <v>896.70485165322498</v>
      </c>
      <c r="U33" s="23">
        <v>7.7505993049848101</v>
      </c>
      <c r="V33" s="24" t="s">
        <v>3</v>
      </c>
      <c r="W33" s="24" t="s">
        <v>37</v>
      </c>
      <c r="X33" s="24" t="s">
        <v>40</v>
      </c>
      <c r="Y33" s="24">
        <v>16.7254043044355</v>
      </c>
      <c r="Z33" s="24">
        <v>2.7254043044355001</v>
      </c>
      <c r="AA33" s="24">
        <v>-12.2745956955645</v>
      </c>
      <c r="AB33" s="24">
        <v>-29.2745956955645</v>
      </c>
      <c r="AC33" s="24">
        <v>-70.2745956955645</v>
      </c>
      <c r="AD33" s="24">
        <v>-153.27459569556399</v>
      </c>
    </row>
    <row r="34" spans="1:30">
      <c r="A34" s="41" t="str">
        <f t="shared" si="0"/>
        <v>SingleCouple2.0 kW15 kWh</v>
      </c>
      <c r="B34">
        <v>32</v>
      </c>
      <c r="C34" s="22">
        <v>365.30416666666599</v>
      </c>
      <c r="D34" s="23">
        <v>5474.99999999999</v>
      </c>
      <c r="E34" s="23">
        <v>2203.02602580645</v>
      </c>
      <c r="F34" s="23">
        <v>1240.2020236559099</v>
      </c>
      <c r="G34" s="23">
        <v>4512.1759978494601</v>
      </c>
      <c r="H34" s="23">
        <v>1642.5</v>
      </c>
      <c r="I34" s="23">
        <v>74.412121419354804</v>
      </c>
      <c r="J34" s="23">
        <v>1104.14831937903</v>
      </c>
      <c r="K34" s="23">
        <v>1029.7361979596701</v>
      </c>
      <c r="L34" s="23">
        <v>612.76380204032205</v>
      </c>
      <c r="M34" s="23">
        <v>136.875</v>
      </c>
      <c r="N34" s="23">
        <v>136.875</v>
      </c>
      <c r="O34" s="23">
        <v>96.329583333333304</v>
      </c>
      <c r="P34" s="23">
        <v>85.811349829973096</v>
      </c>
      <c r="Q34" s="23">
        <v>40.545416666666597</v>
      </c>
      <c r="R34" s="23">
        <v>51.063650170026797</v>
      </c>
      <c r="S34" s="23">
        <v>0.56295386850998197</v>
      </c>
      <c r="T34" s="23">
        <v>612.76380204032205</v>
      </c>
      <c r="U34" s="23">
        <v>5.4833526210461301</v>
      </c>
      <c r="V34" s="24" t="s">
        <v>32</v>
      </c>
      <c r="W34" s="24" t="s">
        <v>33</v>
      </c>
      <c r="X34" s="24" t="s">
        <v>41</v>
      </c>
      <c r="Y34" s="24">
        <v>23.063650170026801</v>
      </c>
      <c r="Z34" s="24">
        <v>16.063650170026801</v>
      </c>
      <c r="AA34" s="24">
        <v>9.0636501700268699</v>
      </c>
      <c r="AB34" s="24">
        <v>1.0636501700268699</v>
      </c>
      <c r="AC34" s="24">
        <v>-18.9363498299731</v>
      </c>
      <c r="AD34" s="24">
        <v>-58.936349829973103</v>
      </c>
    </row>
    <row r="35" spans="1:30">
      <c r="A35" s="41" t="str">
        <f t="shared" si="0"/>
        <v>SingleCouple3.0 kW15 kWh</v>
      </c>
      <c r="B35">
        <v>33</v>
      </c>
      <c r="C35" s="22">
        <v>365.30416666666599</v>
      </c>
      <c r="D35" s="23">
        <v>5474.99999999999</v>
      </c>
      <c r="E35" s="23">
        <v>3304.53903870967</v>
      </c>
      <c r="F35" s="23">
        <v>2284.9275516129001</v>
      </c>
      <c r="G35" s="23">
        <v>4455.3885129032196</v>
      </c>
      <c r="H35" s="23">
        <v>1642.5</v>
      </c>
      <c r="I35" s="23">
        <v>137.09565309677399</v>
      </c>
      <c r="J35" s="23">
        <v>1087.7509331008</v>
      </c>
      <c r="K35" s="23">
        <v>950.65528000403106</v>
      </c>
      <c r="L35" s="23">
        <v>691.84471999596701</v>
      </c>
      <c r="M35" s="23">
        <v>136.875</v>
      </c>
      <c r="N35" s="23">
        <v>136.875</v>
      </c>
      <c r="O35" s="23">
        <v>93.166249999999906</v>
      </c>
      <c r="P35" s="23">
        <v>79.221273333669302</v>
      </c>
      <c r="Q35" s="23">
        <v>43.708749999999903</v>
      </c>
      <c r="R35" s="23">
        <v>57.653726666330599</v>
      </c>
      <c r="S35" s="23">
        <v>0.69145122053244001</v>
      </c>
      <c r="T35" s="23">
        <v>691.84471999596803</v>
      </c>
      <c r="U35" s="23">
        <v>7.0333701470300403</v>
      </c>
      <c r="V35" s="24" t="s">
        <v>32</v>
      </c>
      <c r="W35" s="24" t="s">
        <v>35</v>
      </c>
      <c r="X35" s="24" t="s">
        <v>41</v>
      </c>
      <c r="Y35" s="24">
        <v>16.653726666330599</v>
      </c>
      <c r="Z35" s="24">
        <v>6.6537266663306402</v>
      </c>
      <c r="AA35" s="24">
        <v>-3.34627333366935</v>
      </c>
      <c r="AB35" s="24">
        <v>-15.3462733336693</v>
      </c>
      <c r="AC35" s="24">
        <v>-43.346273333669302</v>
      </c>
      <c r="AD35" s="24">
        <v>-101.346273333669</v>
      </c>
    </row>
    <row r="36" spans="1:30">
      <c r="A36" s="41" t="str">
        <f t="shared" si="0"/>
        <v>SingleCouple4.0 kW15 kWh</v>
      </c>
      <c r="B36">
        <v>34</v>
      </c>
      <c r="C36" s="22">
        <v>365.30416666666599</v>
      </c>
      <c r="D36" s="23">
        <v>5474.99999999999</v>
      </c>
      <c r="E36" s="23">
        <v>4406.0520516129</v>
      </c>
      <c r="F36" s="23">
        <v>3335.5284021505299</v>
      </c>
      <c r="G36" s="23">
        <v>4404.4763505376304</v>
      </c>
      <c r="H36" s="23">
        <v>1642.5</v>
      </c>
      <c r="I36" s="23">
        <v>200.13170412903199</v>
      </c>
      <c r="J36" s="23">
        <v>1073.0500462177399</v>
      </c>
      <c r="K36" s="23">
        <v>872.91834208870898</v>
      </c>
      <c r="L36" s="23">
        <v>769.58165791128999</v>
      </c>
      <c r="M36" s="23">
        <v>136.875</v>
      </c>
      <c r="N36" s="23">
        <v>136.875</v>
      </c>
      <c r="O36" s="23">
        <v>90.002916666666593</v>
      </c>
      <c r="P36" s="23">
        <v>72.743195174059096</v>
      </c>
      <c r="Q36" s="23">
        <v>46.8720833333333</v>
      </c>
      <c r="R36" s="23">
        <v>64.131804825940804</v>
      </c>
      <c r="S36" s="23">
        <v>0.75703336299205004</v>
      </c>
      <c r="T36" s="23">
        <v>769.58165791128999</v>
      </c>
      <c r="U36" s="23">
        <v>7.8185335346097498</v>
      </c>
      <c r="V36" s="24" t="s">
        <v>32</v>
      </c>
      <c r="W36" s="24" t="s">
        <v>36</v>
      </c>
      <c r="X36" s="24" t="s">
        <v>41</v>
      </c>
      <c r="Y36" s="24">
        <v>14.131804825940799</v>
      </c>
      <c r="Z36" s="24">
        <v>1.13180482594084</v>
      </c>
      <c r="AA36" s="24">
        <v>-10.8681951740591</v>
      </c>
      <c r="AB36" s="24">
        <v>-25.8681951740591</v>
      </c>
      <c r="AC36" s="24">
        <v>-60.868195174059103</v>
      </c>
      <c r="AD36" s="24">
        <v>-132.868195174059</v>
      </c>
    </row>
    <row r="37" spans="1:30">
      <c r="A37" s="41" t="str">
        <f t="shared" si="0"/>
        <v>SingleCouple5.0 kW15 kWh</v>
      </c>
      <c r="B37">
        <v>35</v>
      </c>
      <c r="C37" s="22">
        <v>365.30416666666599</v>
      </c>
      <c r="D37" s="23">
        <v>5474.99999999999</v>
      </c>
      <c r="E37" s="23">
        <v>5507.5650645161204</v>
      </c>
      <c r="F37" s="23">
        <v>4386.1292526881698</v>
      </c>
      <c r="G37" s="23">
        <v>4353.5641881720403</v>
      </c>
      <c r="H37" s="23">
        <v>1642.5</v>
      </c>
      <c r="I37" s="23">
        <v>263.16775516129002</v>
      </c>
      <c r="J37" s="23">
        <v>1058.34915933467</v>
      </c>
      <c r="K37" s="23">
        <v>795.181404173386</v>
      </c>
      <c r="L37" s="23">
        <v>847.31859582661195</v>
      </c>
      <c r="M37" s="23">
        <v>136.875</v>
      </c>
      <c r="N37" s="23">
        <v>136.875</v>
      </c>
      <c r="O37" s="23">
        <v>86.839583333333294</v>
      </c>
      <c r="P37" s="23">
        <v>66.265117014448904</v>
      </c>
      <c r="Q37" s="23">
        <v>50.035416666666599</v>
      </c>
      <c r="R37" s="23">
        <v>70.609882985550996</v>
      </c>
      <c r="S37" s="23">
        <v>0.79638264846781603</v>
      </c>
      <c r="T37" s="23">
        <v>847.31859582661298</v>
      </c>
      <c r="U37" s="23">
        <v>8.2023456516020694</v>
      </c>
      <c r="V37" s="24" t="s">
        <v>32</v>
      </c>
      <c r="W37" s="24" t="s">
        <v>37</v>
      </c>
      <c r="X37" s="24" t="s">
        <v>41</v>
      </c>
      <c r="Y37" s="24">
        <v>12.609882985551</v>
      </c>
      <c r="Z37" s="24">
        <v>-1.3901170144489301</v>
      </c>
      <c r="AA37" s="24">
        <v>-16.390117014448901</v>
      </c>
      <c r="AB37" s="24">
        <v>-33.390117014448897</v>
      </c>
      <c r="AC37" s="24">
        <v>-74.390117014448904</v>
      </c>
      <c r="AD37" s="24">
        <v>-157.39011701444801</v>
      </c>
    </row>
    <row r="38" spans="1:30">
      <c r="A38" s="41" t="str">
        <f t="shared" si="0"/>
        <v>FamilyType12.0 kW15 kWh</v>
      </c>
      <c r="B38">
        <v>36</v>
      </c>
      <c r="C38" s="22">
        <v>365.30416666666599</v>
      </c>
      <c r="D38" s="23">
        <v>5474.99999999999</v>
      </c>
      <c r="E38" s="23">
        <v>2203.02602580645</v>
      </c>
      <c r="F38" s="23">
        <v>1048.7119297490999</v>
      </c>
      <c r="G38" s="23">
        <v>4320.6859039426499</v>
      </c>
      <c r="H38" s="23">
        <v>1642.5</v>
      </c>
      <c r="I38" s="23">
        <v>62.922715784946199</v>
      </c>
      <c r="J38" s="23">
        <v>1058.79267976344</v>
      </c>
      <c r="K38" s="23">
        <v>995.86996397849396</v>
      </c>
      <c r="L38" s="23">
        <v>646.63003602150502</v>
      </c>
      <c r="M38" s="23">
        <v>136.875</v>
      </c>
      <c r="N38" s="23">
        <v>136.875</v>
      </c>
      <c r="O38" s="23">
        <v>96.857099583333294</v>
      </c>
      <c r="P38" s="23">
        <v>82.989163664874496</v>
      </c>
      <c r="Q38" s="23">
        <v>40.017900416666599</v>
      </c>
      <c r="R38" s="23">
        <v>53.885836335125397</v>
      </c>
      <c r="S38" s="23">
        <v>0.476032474180692</v>
      </c>
      <c r="T38" s="23">
        <v>646.63003602150502</v>
      </c>
      <c r="U38" s="23">
        <v>5.1961706274470796</v>
      </c>
      <c r="V38" s="24" t="s">
        <v>38</v>
      </c>
      <c r="W38" s="24" t="s">
        <v>33</v>
      </c>
      <c r="X38" s="24" t="s">
        <v>41</v>
      </c>
      <c r="Y38" s="24">
        <v>25.885836335125401</v>
      </c>
      <c r="Z38" s="24">
        <v>18.885836335125401</v>
      </c>
      <c r="AA38" s="24">
        <v>11.885836335125401</v>
      </c>
      <c r="AB38" s="24">
        <v>3.8858363351254401</v>
      </c>
      <c r="AC38" s="24">
        <v>-16.1141636648745</v>
      </c>
      <c r="AD38" s="24">
        <v>-56.114163664874503</v>
      </c>
    </row>
    <row r="39" spans="1:30">
      <c r="A39" s="41" t="str">
        <f t="shared" si="0"/>
        <v>FamilyType13.0 kW15 kWh</v>
      </c>
      <c r="B39">
        <v>37</v>
      </c>
      <c r="C39" s="22">
        <v>365.30416666666599</v>
      </c>
      <c r="D39" s="23">
        <v>5474.99999999999</v>
      </c>
      <c r="E39" s="23">
        <v>3304.53903870967</v>
      </c>
      <c r="F39" s="23">
        <v>1912.48327849462</v>
      </c>
      <c r="G39" s="23">
        <v>4082.9442397849398</v>
      </c>
      <c r="H39" s="23">
        <v>1642.5</v>
      </c>
      <c r="I39" s="23">
        <v>114.748996709677</v>
      </c>
      <c r="J39" s="23">
        <v>990.14477423790299</v>
      </c>
      <c r="K39" s="23">
        <v>875.39577752822504</v>
      </c>
      <c r="L39" s="23">
        <v>767.10422247177405</v>
      </c>
      <c r="M39" s="23">
        <v>136.875</v>
      </c>
      <c r="N39" s="23">
        <v>136.875</v>
      </c>
      <c r="O39" s="23">
        <v>92.499805624999993</v>
      </c>
      <c r="P39" s="23">
        <v>72.949648127352106</v>
      </c>
      <c r="Q39" s="23">
        <v>44.375194375</v>
      </c>
      <c r="R39" s="23">
        <v>63.925351872647802</v>
      </c>
      <c r="S39" s="23">
        <v>0.57874434409508102</v>
      </c>
      <c r="T39" s="23">
        <v>767.10422247177405</v>
      </c>
      <c r="U39" s="23">
        <v>6.3433362214077</v>
      </c>
      <c r="V39" s="24" t="s">
        <v>38</v>
      </c>
      <c r="W39" s="24" t="s">
        <v>35</v>
      </c>
      <c r="X39" s="24" t="s">
        <v>41</v>
      </c>
      <c r="Y39" s="24">
        <v>22.925351872647799</v>
      </c>
      <c r="Z39" s="24">
        <v>12.9253518726478</v>
      </c>
      <c r="AA39" s="24">
        <v>2.92535187264787</v>
      </c>
      <c r="AB39" s="24">
        <v>-9.0746481273521198</v>
      </c>
      <c r="AC39" s="24">
        <v>-37.074648127352098</v>
      </c>
      <c r="AD39" s="24">
        <v>-95.074648127352106</v>
      </c>
    </row>
    <row r="40" spans="1:30">
      <c r="A40" s="41" t="str">
        <f t="shared" si="0"/>
        <v>FamilyType14.0 kW15 kWh</v>
      </c>
      <c r="B40">
        <v>38</v>
      </c>
      <c r="C40" s="22">
        <v>365.30416666666599</v>
      </c>
      <c r="D40" s="23">
        <v>5474.99999999999</v>
      </c>
      <c r="E40" s="23">
        <v>4406.0520516129</v>
      </c>
      <c r="F40" s="23">
        <v>2864.18993010752</v>
      </c>
      <c r="G40" s="23">
        <v>3933.1378784946201</v>
      </c>
      <c r="H40" s="23">
        <v>1642.5</v>
      </c>
      <c r="I40" s="23">
        <v>171.85139580645099</v>
      </c>
      <c r="J40" s="23">
        <v>946.88818741532202</v>
      </c>
      <c r="K40" s="23">
        <v>775.036791608871</v>
      </c>
      <c r="L40" s="23">
        <v>867.463208391129</v>
      </c>
      <c r="M40" s="23">
        <v>136.875</v>
      </c>
      <c r="N40" s="23">
        <v>136.875</v>
      </c>
      <c r="O40" s="23">
        <v>88.142511666666607</v>
      </c>
      <c r="P40" s="23">
        <v>64.586399300739203</v>
      </c>
      <c r="Q40" s="23">
        <v>48.732488333333301</v>
      </c>
      <c r="R40" s="23">
        <v>72.288600699260698</v>
      </c>
      <c r="S40" s="23">
        <v>0.65005812381609196</v>
      </c>
      <c r="T40" s="23">
        <v>867.463208391129</v>
      </c>
      <c r="U40" s="23">
        <v>6.9363172314358303</v>
      </c>
      <c r="V40" s="24" t="s">
        <v>38</v>
      </c>
      <c r="W40" s="24" t="s">
        <v>36</v>
      </c>
      <c r="X40" s="24" t="s">
        <v>41</v>
      </c>
      <c r="Y40" s="24">
        <v>22.288600699260702</v>
      </c>
      <c r="Z40" s="24">
        <v>9.2886006992607495</v>
      </c>
      <c r="AA40" s="24">
        <v>-2.7113993007392398</v>
      </c>
      <c r="AB40" s="24">
        <v>-17.711399300739199</v>
      </c>
      <c r="AC40" s="24">
        <v>-52.711399300739203</v>
      </c>
      <c r="AD40" s="24">
        <v>-124.711399300739</v>
      </c>
    </row>
    <row r="41" spans="1:30">
      <c r="A41" s="41" t="str">
        <f t="shared" si="0"/>
        <v>FamilyType15.0 kW15 kWh</v>
      </c>
      <c r="B41">
        <v>39</v>
      </c>
      <c r="C41" s="22">
        <v>365.30416666666599</v>
      </c>
      <c r="D41" s="23">
        <v>5474.99999999999</v>
      </c>
      <c r="E41" s="23">
        <v>5507.5650645161204</v>
      </c>
      <c r="F41" s="23">
        <v>3853.2559408602101</v>
      </c>
      <c r="G41" s="23">
        <v>3820.6908763440802</v>
      </c>
      <c r="H41" s="23">
        <v>1642.5</v>
      </c>
      <c r="I41" s="23">
        <v>231.19535645161201</v>
      </c>
      <c r="J41" s="23">
        <v>914.41911554435399</v>
      </c>
      <c r="K41" s="23">
        <v>683.22375909274194</v>
      </c>
      <c r="L41" s="23">
        <v>959.27624090725806</v>
      </c>
      <c r="M41" s="23">
        <v>136.875</v>
      </c>
      <c r="N41" s="23">
        <v>136.875</v>
      </c>
      <c r="O41" s="23">
        <v>83.785217708333306</v>
      </c>
      <c r="P41" s="23">
        <v>56.935313257728403</v>
      </c>
      <c r="Q41" s="23">
        <v>53.089782291666602</v>
      </c>
      <c r="R41" s="23">
        <v>79.939686742271505</v>
      </c>
      <c r="S41" s="23">
        <v>0.699629672227711</v>
      </c>
      <c r="T41" s="23">
        <v>959.27624090725806</v>
      </c>
      <c r="U41" s="23">
        <v>7.24504548702975</v>
      </c>
      <c r="V41" s="24" t="s">
        <v>38</v>
      </c>
      <c r="W41" s="24" t="s">
        <v>37</v>
      </c>
      <c r="X41" s="24" t="s">
        <v>41</v>
      </c>
      <c r="Y41" s="24">
        <v>21.939686742271501</v>
      </c>
      <c r="Z41" s="24">
        <v>7.9396867422715101</v>
      </c>
      <c r="AA41" s="24">
        <v>-7.0603132577284802</v>
      </c>
      <c r="AB41" s="24">
        <v>-24.060313257728399</v>
      </c>
      <c r="AC41" s="24">
        <v>-65.060313257728396</v>
      </c>
      <c r="AD41" s="24">
        <v>-148.06031325772801</v>
      </c>
    </row>
    <row r="42" spans="1:30">
      <c r="A42" s="41" t="str">
        <f t="shared" si="0"/>
        <v>FamilyType22.0 kW15 kWh</v>
      </c>
      <c r="B42">
        <v>40</v>
      </c>
      <c r="C42" s="22">
        <v>365.30416666666599</v>
      </c>
      <c r="D42" s="23">
        <v>5475</v>
      </c>
      <c r="E42" s="23">
        <v>2203.02602580645</v>
      </c>
      <c r="F42" s="23">
        <v>480.83927813619999</v>
      </c>
      <c r="G42" s="23">
        <v>3752.81325232974</v>
      </c>
      <c r="H42" s="23">
        <v>1642.49999999999</v>
      </c>
      <c r="I42" s="23">
        <v>28.850356688171999</v>
      </c>
      <c r="J42" s="23">
        <v>904.75657661021501</v>
      </c>
      <c r="K42" s="23">
        <v>875.90621992204296</v>
      </c>
      <c r="L42" s="23">
        <v>766.59378007795704</v>
      </c>
      <c r="M42" s="23">
        <v>136.87499999999901</v>
      </c>
      <c r="N42" s="23">
        <v>136.87499999999901</v>
      </c>
      <c r="O42" s="23">
        <v>89.035240833333305</v>
      </c>
      <c r="P42" s="23">
        <v>72.9921849935035</v>
      </c>
      <c r="Q42" s="23">
        <v>47.839759166666603</v>
      </c>
      <c r="R42" s="23">
        <v>63.882815006496401</v>
      </c>
      <c r="S42" s="23">
        <v>0.21826309471772201</v>
      </c>
      <c r="T42" s="23">
        <v>766.59378007795601</v>
      </c>
      <c r="U42" s="23">
        <v>4.3830253875244196</v>
      </c>
      <c r="V42" s="24" t="s">
        <v>39</v>
      </c>
      <c r="W42" s="24" t="s">
        <v>33</v>
      </c>
      <c r="X42" s="24" t="s">
        <v>41</v>
      </c>
      <c r="Y42" s="24">
        <v>35.882815006496401</v>
      </c>
      <c r="Z42" s="24">
        <v>28.882815006496401</v>
      </c>
      <c r="AA42" s="24">
        <v>21.882815006496401</v>
      </c>
      <c r="AB42" s="24">
        <v>13.882815006496401</v>
      </c>
      <c r="AC42" s="24">
        <v>-6.1171849935035798</v>
      </c>
      <c r="AD42" s="24">
        <v>-46.1171849935035</v>
      </c>
    </row>
    <row r="43" spans="1:30">
      <c r="A43" s="41" t="str">
        <f t="shared" si="0"/>
        <v>FamilyType23.0 kW15 kWh</v>
      </c>
      <c r="B43">
        <v>41</v>
      </c>
      <c r="C43" s="22">
        <v>365.30416666666599</v>
      </c>
      <c r="D43" s="23">
        <v>5475</v>
      </c>
      <c r="E43" s="23">
        <v>3304.53903870967</v>
      </c>
      <c r="F43" s="23">
        <v>1302.31042365591</v>
      </c>
      <c r="G43" s="23">
        <v>3472.7713849462298</v>
      </c>
      <c r="H43" s="23">
        <v>1642.49999999999</v>
      </c>
      <c r="I43" s="23">
        <v>78.138625419354796</v>
      </c>
      <c r="J43" s="23">
        <v>823.89448740322496</v>
      </c>
      <c r="K43" s="23">
        <v>745.75586198386998</v>
      </c>
      <c r="L43" s="23">
        <v>896.744138016129</v>
      </c>
      <c r="M43" s="23">
        <v>136.87499999999901</v>
      </c>
      <c r="N43" s="23">
        <v>136.87499999999901</v>
      </c>
      <c r="O43" s="23">
        <v>83.483986249999901</v>
      </c>
      <c r="P43" s="23">
        <v>62.146321831989198</v>
      </c>
      <c r="Q43" s="23">
        <v>53.391013749999999</v>
      </c>
      <c r="R43" s="23">
        <v>74.728678168010703</v>
      </c>
      <c r="S43" s="23">
        <v>0.39409745456189998</v>
      </c>
      <c r="T43" s="23">
        <v>896.74413801612798</v>
      </c>
      <c r="U43" s="23">
        <v>5.4262969711350104</v>
      </c>
      <c r="V43" s="24" t="s">
        <v>39</v>
      </c>
      <c r="W43" s="24" t="s">
        <v>35</v>
      </c>
      <c r="X43" s="24" t="s">
        <v>41</v>
      </c>
      <c r="Y43" s="24">
        <v>33.728678168010703</v>
      </c>
      <c r="Z43" s="24">
        <v>23.728678168010699</v>
      </c>
      <c r="AA43" s="24">
        <v>13.728678168010701</v>
      </c>
      <c r="AB43" s="24">
        <v>1.7286781680107499</v>
      </c>
      <c r="AC43" s="24">
        <v>-26.271321831989201</v>
      </c>
      <c r="AD43" s="24">
        <v>-84.271321831989198</v>
      </c>
    </row>
    <row r="44" spans="1:30">
      <c r="A44" s="41" t="str">
        <f t="shared" si="0"/>
        <v>FamilyType24.0 kW15 kWh</v>
      </c>
      <c r="B44">
        <v>42</v>
      </c>
      <c r="C44" s="22">
        <v>365.30416666666599</v>
      </c>
      <c r="D44" s="23">
        <v>5475</v>
      </c>
      <c r="E44" s="23">
        <v>4406.0520516129</v>
      </c>
      <c r="F44" s="23">
        <v>2241.2895645161202</v>
      </c>
      <c r="G44" s="23">
        <v>3310.2375129032198</v>
      </c>
      <c r="H44" s="23">
        <v>1642.49999999999</v>
      </c>
      <c r="I44" s="23">
        <v>134.477373870967</v>
      </c>
      <c r="J44" s="23">
        <v>776.96283185080597</v>
      </c>
      <c r="K44" s="23">
        <v>642.48545797983797</v>
      </c>
      <c r="L44" s="23">
        <v>1000.01454202016</v>
      </c>
      <c r="M44" s="23">
        <v>136.87499999999901</v>
      </c>
      <c r="N44" s="23">
        <v>136.87499999999901</v>
      </c>
      <c r="O44" s="23">
        <v>78.533886666666604</v>
      </c>
      <c r="P44" s="23">
        <v>53.5404548316532</v>
      </c>
      <c r="Q44" s="23">
        <v>58.341113333333297</v>
      </c>
      <c r="R44" s="23">
        <v>83.334545168346693</v>
      </c>
      <c r="S44" s="23">
        <v>0.50868431381687096</v>
      </c>
      <c r="T44" s="23">
        <v>1000.01454202016</v>
      </c>
      <c r="U44" s="23">
        <v>6.0169125019370799</v>
      </c>
      <c r="V44" s="24" t="s">
        <v>39</v>
      </c>
      <c r="W44" s="24" t="s">
        <v>36</v>
      </c>
      <c r="X44" s="24" t="s">
        <v>41</v>
      </c>
      <c r="Y44" s="24">
        <v>33.3345451683467</v>
      </c>
      <c r="Z44" s="24">
        <v>20.3345451683467</v>
      </c>
      <c r="AA44" s="24">
        <v>8.3345451683467697</v>
      </c>
      <c r="AB44" s="24">
        <v>-6.6654548316532196</v>
      </c>
      <c r="AC44" s="24">
        <v>-41.6654548316532</v>
      </c>
      <c r="AD44" s="24">
        <v>-113.66545483165299</v>
      </c>
    </row>
    <row r="45" spans="1:30">
      <c r="A45" s="41" t="str">
        <f t="shared" si="0"/>
        <v>FamilyType25.0 kW15 kWh</v>
      </c>
      <c r="B45">
        <v>43</v>
      </c>
      <c r="C45" s="22">
        <v>365.30416666666599</v>
      </c>
      <c r="D45" s="23">
        <v>5475</v>
      </c>
      <c r="E45" s="23">
        <v>5507.5650645161204</v>
      </c>
      <c r="F45" s="23">
        <v>3246.6023924731098</v>
      </c>
      <c r="G45" s="23">
        <v>3214.0373279569799</v>
      </c>
      <c r="H45" s="23">
        <v>1642.49999999999</v>
      </c>
      <c r="I45" s="23">
        <v>194.79614354838699</v>
      </c>
      <c r="J45" s="23">
        <v>749.18502844757995</v>
      </c>
      <c r="K45" s="23">
        <v>554.38888489919304</v>
      </c>
      <c r="L45" s="23">
        <v>1088.1111151007999</v>
      </c>
      <c r="M45" s="23">
        <v>136.87499999999901</v>
      </c>
      <c r="N45" s="23">
        <v>136.87499999999901</v>
      </c>
      <c r="O45" s="23">
        <v>74.176592708333303</v>
      </c>
      <c r="P45" s="23">
        <v>46.199073741599399</v>
      </c>
      <c r="Q45" s="23">
        <v>62.698407291666598</v>
      </c>
      <c r="R45" s="23">
        <v>90.675926258400494</v>
      </c>
      <c r="S45" s="23">
        <v>0.58948053349204499</v>
      </c>
      <c r="T45" s="23">
        <v>1088.1111151007999</v>
      </c>
      <c r="U45" s="23">
        <v>6.3872153344891798</v>
      </c>
      <c r="V45" s="24" t="s">
        <v>39</v>
      </c>
      <c r="W45" s="24" t="s">
        <v>37</v>
      </c>
      <c r="X45" s="24" t="s">
        <v>41</v>
      </c>
      <c r="Y45" s="24">
        <v>32.675926258400501</v>
      </c>
      <c r="Z45" s="24">
        <v>18.675926258400501</v>
      </c>
      <c r="AA45" s="24">
        <v>3.6759262584005299</v>
      </c>
      <c r="AB45" s="24">
        <v>-13.324073741599401</v>
      </c>
      <c r="AC45" s="24">
        <v>-54.324073741599399</v>
      </c>
      <c r="AD45" s="24">
        <v>-137.32407374159899</v>
      </c>
    </row>
    <row r="46" spans="1:30">
      <c r="A46" s="41" t="str">
        <f t="shared" si="0"/>
        <v>Retirees2.0 kW15 kWh</v>
      </c>
      <c r="B46">
        <v>44</v>
      </c>
      <c r="C46" s="22">
        <v>365.30416666666599</v>
      </c>
      <c r="D46" s="23">
        <v>5475</v>
      </c>
      <c r="E46" s="23">
        <v>2203.02602580645</v>
      </c>
      <c r="F46" s="23">
        <v>92.986301075268898</v>
      </c>
      <c r="G46" s="23">
        <v>3364.9602752688102</v>
      </c>
      <c r="H46" s="23">
        <v>1642.49999999999</v>
      </c>
      <c r="I46" s="23">
        <v>5.57917806451613</v>
      </c>
      <c r="J46" s="23">
        <v>842.44965448387097</v>
      </c>
      <c r="K46" s="23">
        <v>836.87047641935396</v>
      </c>
      <c r="L46" s="23">
        <v>805.62952358064501</v>
      </c>
      <c r="M46" s="23">
        <v>136.87499999999901</v>
      </c>
      <c r="N46" s="23">
        <v>136.87499999999901</v>
      </c>
      <c r="O46" s="23">
        <v>90.529885416666602</v>
      </c>
      <c r="P46" s="23">
        <v>69.739206368279497</v>
      </c>
      <c r="Q46" s="23">
        <v>46.345114583333299</v>
      </c>
      <c r="R46" s="23">
        <v>67.135793631720404</v>
      </c>
      <c r="S46" s="23">
        <v>4.2208444197217199E-2</v>
      </c>
      <c r="T46" s="23">
        <v>805.62952358064501</v>
      </c>
      <c r="U46" s="23">
        <v>4.1706515236263604</v>
      </c>
      <c r="V46" s="24" t="s">
        <v>3</v>
      </c>
      <c r="W46" s="24" t="s">
        <v>33</v>
      </c>
      <c r="X46" s="24" t="s">
        <v>41</v>
      </c>
      <c r="Y46" s="24">
        <v>39.135793631720396</v>
      </c>
      <c r="Z46" s="24">
        <v>32.135793631720396</v>
      </c>
      <c r="AA46" s="24">
        <v>25.1357936317204</v>
      </c>
      <c r="AB46" s="24">
        <v>17.1357936317204</v>
      </c>
      <c r="AC46" s="24">
        <v>-2.86420636827956</v>
      </c>
      <c r="AD46" s="24">
        <v>-42.864206368279497</v>
      </c>
    </row>
    <row r="47" spans="1:30">
      <c r="A47" s="41" t="str">
        <f t="shared" si="0"/>
        <v>Retirees3.0 kW15 kWh</v>
      </c>
      <c r="B47">
        <v>45</v>
      </c>
      <c r="C47" s="22">
        <v>365.30416666666599</v>
      </c>
      <c r="D47" s="23">
        <v>5475</v>
      </c>
      <c r="E47" s="23">
        <v>3304.53903870967</v>
      </c>
      <c r="F47" s="23">
        <v>786.90185161290299</v>
      </c>
      <c r="G47" s="23">
        <v>2957.3628129032199</v>
      </c>
      <c r="H47" s="23">
        <v>1642.49999999999</v>
      </c>
      <c r="I47" s="23">
        <v>47.214111096774197</v>
      </c>
      <c r="J47" s="23">
        <v>724.75588722580596</v>
      </c>
      <c r="K47" s="23">
        <v>677.54177612903197</v>
      </c>
      <c r="L47" s="23">
        <v>964.958223870967</v>
      </c>
      <c r="M47" s="23">
        <v>136.87499999999901</v>
      </c>
      <c r="N47" s="23">
        <v>136.87499999999901</v>
      </c>
      <c r="O47" s="23">
        <v>79.275080000000003</v>
      </c>
      <c r="P47" s="23">
        <v>56.461814677419298</v>
      </c>
      <c r="Q47" s="23">
        <v>57.599919999999898</v>
      </c>
      <c r="R47" s="23">
        <v>80.413185322580603</v>
      </c>
      <c r="S47" s="23">
        <v>0.23812757010737701</v>
      </c>
      <c r="T47" s="23">
        <v>964.958223870967</v>
      </c>
      <c r="U47" s="23">
        <v>5.0427053520305201</v>
      </c>
      <c r="V47" s="24" t="s">
        <v>3</v>
      </c>
      <c r="W47" s="24" t="s">
        <v>35</v>
      </c>
      <c r="X47" s="24" t="s">
        <v>41</v>
      </c>
      <c r="Y47" s="24">
        <v>39.413185322580603</v>
      </c>
      <c r="Z47" s="24">
        <v>29.413185322580599</v>
      </c>
      <c r="AA47" s="24">
        <v>19.413185322580599</v>
      </c>
      <c r="AB47" s="24">
        <v>7.4131853225806399</v>
      </c>
      <c r="AC47" s="24">
        <v>-20.586814677419301</v>
      </c>
      <c r="AD47" s="24">
        <v>-78.586814677419298</v>
      </c>
    </row>
    <row r="48" spans="1:30">
      <c r="A48" s="41" t="str">
        <f t="shared" si="0"/>
        <v>Retirees4.0 kW15 kWh</v>
      </c>
      <c r="B48">
        <v>46</v>
      </c>
      <c r="C48" s="22">
        <v>365.30416666666599</v>
      </c>
      <c r="D48" s="23">
        <v>5475</v>
      </c>
      <c r="E48" s="23">
        <v>4406.0520516129</v>
      </c>
      <c r="F48" s="23">
        <v>1712.0446666666601</v>
      </c>
      <c r="G48" s="23">
        <v>2780.9926150537599</v>
      </c>
      <c r="H48" s="23">
        <v>1642.49999999999</v>
      </c>
      <c r="I48" s="23">
        <v>102.72268</v>
      </c>
      <c r="J48" s="23">
        <v>673.82899259677401</v>
      </c>
      <c r="K48" s="23">
        <v>571.10631259677405</v>
      </c>
      <c r="L48" s="23">
        <v>1071.3936874032199</v>
      </c>
      <c r="M48" s="23">
        <v>136.87499999999901</v>
      </c>
      <c r="N48" s="23">
        <v>136.87499999999901</v>
      </c>
      <c r="O48" s="23">
        <v>73.7238254166666</v>
      </c>
      <c r="P48" s="23">
        <v>47.592192716397797</v>
      </c>
      <c r="Q48" s="23">
        <v>63.151174583333301</v>
      </c>
      <c r="R48" s="23">
        <v>89.282807283602097</v>
      </c>
      <c r="S48" s="23">
        <v>0.38856660035142898</v>
      </c>
      <c r="T48" s="23">
        <v>1071.3936874032199</v>
      </c>
      <c r="U48" s="23">
        <v>5.6160495163860897</v>
      </c>
      <c r="V48" s="24" t="s">
        <v>3</v>
      </c>
      <c r="W48" s="24" t="s">
        <v>36</v>
      </c>
      <c r="X48" s="24" t="s">
        <v>41</v>
      </c>
      <c r="Y48" s="24">
        <v>39.282807283602097</v>
      </c>
      <c r="Z48" s="24">
        <v>26.2828072836021</v>
      </c>
      <c r="AA48" s="24">
        <v>14.2828072836021</v>
      </c>
      <c r="AB48" s="24">
        <v>-0.71719271639784599</v>
      </c>
      <c r="AC48" s="24">
        <v>-35.717192716397797</v>
      </c>
      <c r="AD48" s="24">
        <v>-107.71719271639699</v>
      </c>
    </row>
    <row r="49" spans="1:30">
      <c r="A49" s="41" t="str">
        <f t="shared" si="0"/>
        <v>Retirees5.0 kW15 kWh</v>
      </c>
      <c r="B49">
        <v>47</v>
      </c>
      <c r="C49" s="22">
        <v>365.30416666666599</v>
      </c>
      <c r="D49" s="23">
        <v>5475</v>
      </c>
      <c r="E49" s="23">
        <v>5507.5650645161204</v>
      </c>
      <c r="F49" s="23">
        <v>2716.60080645161</v>
      </c>
      <c r="G49" s="23">
        <v>2684.03574193548</v>
      </c>
      <c r="H49" s="23">
        <v>1642.49999999999</v>
      </c>
      <c r="I49" s="23">
        <v>162.99604838709601</v>
      </c>
      <c r="J49" s="23">
        <v>645.83269548387102</v>
      </c>
      <c r="K49" s="23">
        <v>482.83664709677402</v>
      </c>
      <c r="L49" s="23">
        <v>1159.6633529032199</v>
      </c>
      <c r="M49" s="23">
        <v>136.87499999999901</v>
      </c>
      <c r="N49" s="23">
        <v>136.87499999999901</v>
      </c>
      <c r="O49" s="23">
        <v>68.172570833333296</v>
      </c>
      <c r="P49" s="23">
        <v>40.236387258064497</v>
      </c>
      <c r="Q49" s="23">
        <v>68.702429166666604</v>
      </c>
      <c r="R49" s="23">
        <v>96.638612741935404</v>
      </c>
      <c r="S49" s="23">
        <v>0.49324897202830997</v>
      </c>
      <c r="T49" s="23">
        <v>1159.6633529032199</v>
      </c>
      <c r="U49" s="23">
        <v>5.9931185913572396</v>
      </c>
      <c r="V49" s="24" t="s">
        <v>3</v>
      </c>
      <c r="W49" s="24" t="s">
        <v>37</v>
      </c>
      <c r="X49" s="24" t="s">
        <v>41</v>
      </c>
      <c r="Y49" s="24">
        <v>38.638612741935397</v>
      </c>
      <c r="Z49" s="24">
        <v>24.6386127419354</v>
      </c>
      <c r="AA49" s="24">
        <v>9.6386127419354892</v>
      </c>
      <c r="AB49" s="24">
        <v>-7.3613872580645099</v>
      </c>
      <c r="AC49" s="24">
        <v>-48.361387258064497</v>
      </c>
      <c r="AD49" s="24">
        <v>-131.36138725806401</v>
      </c>
    </row>
    <row r="50" spans="1:30">
      <c r="D50" s="42"/>
      <c r="G50" s="42"/>
      <c r="T50" s="43"/>
    </row>
    <row r="55" spans="1:30">
      <c r="R55" s="43"/>
    </row>
  </sheetData>
  <pageMargins left="0.75" right="0.75" top="1" bottom="1" header="0.5" footer="0.5"/>
  <pageSetup paperSize="8" orientation="portrait" horizontalDpi="4294967292" verticalDpi="4294967292"/>
</worksheet>
</file>

<file path=xl/worksheets/sheet5.xml><?xml version="1.0" encoding="utf-8"?>
<worksheet xmlns="http://schemas.openxmlformats.org/spreadsheetml/2006/main" xmlns:r="http://schemas.openxmlformats.org/officeDocument/2006/relationships">
  <dimension ref="A1:G91"/>
  <sheetViews>
    <sheetView topLeftCell="A26" workbookViewId="0">
      <selection activeCell="B85" sqref="B85:G85"/>
    </sheetView>
  </sheetViews>
  <sheetFormatPr defaultColWidth="11.125" defaultRowHeight="15"/>
  <cols>
    <col min="1" max="1" width="33" style="211" bestFit="1" customWidth="1"/>
    <col min="2" max="2" width="11.5" style="211" bestFit="1" customWidth="1"/>
    <col min="3" max="3" width="12.125" style="211" customWidth="1"/>
    <col min="4" max="4" width="22.625" style="211" customWidth="1"/>
    <col min="5" max="5" width="34.375" style="211" customWidth="1"/>
    <col min="6" max="6" width="22" style="211" bestFit="1" customWidth="1"/>
    <col min="7" max="7" width="15.125" style="211" bestFit="1" customWidth="1"/>
    <col min="8" max="16384" width="11.125" style="211"/>
  </cols>
  <sheetData>
    <row r="1" spans="1:7">
      <c r="A1" s="211" t="s">
        <v>53</v>
      </c>
      <c r="B1" s="211" t="s">
        <v>54</v>
      </c>
      <c r="C1" s="211" t="s">
        <v>55</v>
      </c>
      <c r="D1" s="211" t="s">
        <v>56</v>
      </c>
      <c r="E1" s="211" t="s">
        <v>57</v>
      </c>
      <c r="F1" s="211" t="s">
        <v>58</v>
      </c>
      <c r="G1" s="211" t="s">
        <v>59</v>
      </c>
    </row>
    <row r="2" spans="1:7" ht="15.75">
      <c r="A2" s="211" t="s">
        <v>60</v>
      </c>
      <c r="B2">
        <v>6932</v>
      </c>
      <c r="C2">
        <v>11881</v>
      </c>
      <c r="D2">
        <v>1541</v>
      </c>
      <c r="E2">
        <v>1021</v>
      </c>
      <c r="F2">
        <v>1234</v>
      </c>
      <c r="G2">
        <v>2150</v>
      </c>
    </row>
    <row r="3" spans="1:7" ht="15.75">
      <c r="A3" s="211" t="s">
        <v>61</v>
      </c>
      <c r="B3">
        <v>5216</v>
      </c>
      <c r="C3">
        <v>11183</v>
      </c>
      <c r="D3">
        <v>1336</v>
      </c>
      <c r="E3">
        <v>893</v>
      </c>
      <c r="F3">
        <v>1426</v>
      </c>
      <c r="G3">
        <v>1834</v>
      </c>
    </row>
    <row r="4" spans="1:7" ht="15.75">
      <c r="A4" s="211" t="s">
        <v>62</v>
      </c>
      <c r="B4">
        <v>40473</v>
      </c>
      <c r="C4">
        <v>93501</v>
      </c>
      <c r="D4">
        <v>9362</v>
      </c>
      <c r="E4">
        <v>5155</v>
      </c>
      <c r="F4">
        <v>8346</v>
      </c>
      <c r="G4">
        <v>12034</v>
      </c>
    </row>
    <row r="5" spans="1:7" ht="15.75">
      <c r="A5" s="211" t="s">
        <v>63</v>
      </c>
      <c r="B5">
        <v>48197</v>
      </c>
      <c r="C5">
        <v>118306</v>
      </c>
      <c r="D5">
        <v>8163</v>
      </c>
      <c r="E5">
        <v>5178</v>
      </c>
      <c r="F5">
        <v>8839</v>
      </c>
      <c r="G5">
        <v>13238</v>
      </c>
    </row>
    <row r="6" spans="1:7" ht="15.75">
      <c r="A6" s="211" t="s">
        <v>64</v>
      </c>
      <c r="B6">
        <v>24181</v>
      </c>
      <c r="C6">
        <v>29614</v>
      </c>
      <c r="D6">
        <v>3776</v>
      </c>
      <c r="E6">
        <v>2491</v>
      </c>
      <c r="F6">
        <v>4307</v>
      </c>
      <c r="G6">
        <v>6065</v>
      </c>
    </row>
    <row r="7" spans="1:7" ht="15.75">
      <c r="A7" s="211" t="s">
        <v>65</v>
      </c>
      <c r="B7">
        <v>18697</v>
      </c>
      <c r="C7">
        <v>42864</v>
      </c>
      <c r="D7">
        <v>3973</v>
      </c>
      <c r="E7">
        <v>2662</v>
      </c>
      <c r="F7">
        <v>3330</v>
      </c>
      <c r="G7">
        <v>6260</v>
      </c>
    </row>
    <row r="8" spans="1:7" ht="15.75">
      <c r="A8" s="211" t="s">
        <v>66</v>
      </c>
      <c r="B8">
        <v>37961</v>
      </c>
      <c r="C8">
        <v>91814</v>
      </c>
      <c r="D8">
        <v>5321</v>
      </c>
      <c r="E8">
        <v>3478</v>
      </c>
      <c r="F8">
        <v>6762</v>
      </c>
      <c r="G8">
        <v>7951</v>
      </c>
    </row>
    <row r="9" spans="1:7" ht="15.75">
      <c r="A9" s="211" t="s">
        <v>67</v>
      </c>
      <c r="B9">
        <v>6632</v>
      </c>
      <c r="C9">
        <v>13647</v>
      </c>
      <c r="D9">
        <v>1719</v>
      </c>
      <c r="E9">
        <v>1014</v>
      </c>
      <c r="F9">
        <v>1181</v>
      </c>
      <c r="G9">
        <v>2420</v>
      </c>
    </row>
    <row r="10" spans="1:7" ht="15.75">
      <c r="A10" s="211" t="s">
        <v>68</v>
      </c>
      <c r="B10">
        <v>65154</v>
      </c>
      <c r="C10">
        <v>159184</v>
      </c>
      <c r="D10">
        <v>8468</v>
      </c>
      <c r="E10">
        <v>5267</v>
      </c>
      <c r="F10">
        <v>5950</v>
      </c>
      <c r="G10">
        <v>10373</v>
      </c>
    </row>
    <row r="11" spans="1:7" ht="15.75">
      <c r="A11" s="211" t="s">
        <v>69</v>
      </c>
      <c r="B11">
        <v>65422</v>
      </c>
      <c r="C11">
        <v>182735</v>
      </c>
      <c r="D11">
        <v>13505</v>
      </c>
      <c r="E11">
        <v>8909</v>
      </c>
      <c r="F11">
        <v>17409</v>
      </c>
      <c r="G11">
        <v>20343</v>
      </c>
    </row>
    <row r="12" spans="1:7" ht="15.75">
      <c r="A12" s="211" t="s">
        <v>70</v>
      </c>
      <c r="B12">
        <v>3279</v>
      </c>
      <c r="C12">
        <v>6384</v>
      </c>
      <c r="D12">
        <v>950</v>
      </c>
      <c r="E12">
        <v>721</v>
      </c>
      <c r="F12">
        <v>922</v>
      </c>
      <c r="G12">
        <v>1145</v>
      </c>
    </row>
    <row r="13" spans="1:7" ht="15.75">
      <c r="A13" s="211" t="s">
        <v>71</v>
      </c>
      <c r="B13">
        <v>16369</v>
      </c>
      <c r="C13">
        <v>36365</v>
      </c>
      <c r="D13">
        <v>4036</v>
      </c>
      <c r="E13">
        <v>2526</v>
      </c>
      <c r="F13">
        <v>3706</v>
      </c>
      <c r="G13">
        <v>5978</v>
      </c>
    </row>
    <row r="14" spans="1:7" ht="15.75">
      <c r="A14" s="211" t="s">
        <v>72</v>
      </c>
      <c r="B14">
        <v>28149</v>
      </c>
      <c r="C14">
        <v>74176</v>
      </c>
      <c r="D14">
        <v>4314</v>
      </c>
      <c r="E14">
        <v>2804</v>
      </c>
      <c r="F14">
        <v>4853</v>
      </c>
      <c r="G14">
        <v>7240</v>
      </c>
    </row>
    <row r="15" spans="1:7" ht="15.75">
      <c r="A15" s="211" t="s">
        <v>73</v>
      </c>
      <c r="B15">
        <v>87393</v>
      </c>
      <c r="C15">
        <v>252382</v>
      </c>
      <c r="D15">
        <v>12648</v>
      </c>
      <c r="E15">
        <v>8465</v>
      </c>
      <c r="F15">
        <v>15568</v>
      </c>
      <c r="G15">
        <v>21247</v>
      </c>
    </row>
    <row r="16" spans="1:7" ht="15.75">
      <c r="A16" s="211" t="s">
        <v>74</v>
      </c>
      <c r="B16">
        <v>6311</v>
      </c>
      <c r="C16">
        <v>12496</v>
      </c>
      <c r="D16">
        <v>2054</v>
      </c>
      <c r="E16">
        <v>1390</v>
      </c>
      <c r="F16">
        <v>2201</v>
      </c>
      <c r="G16">
        <v>2954</v>
      </c>
    </row>
    <row r="17" spans="1:7" ht="15.75">
      <c r="A17" s="211" t="s">
        <v>75</v>
      </c>
      <c r="B17">
        <v>11318</v>
      </c>
      <c r="C17">
        <v>20345</v>
      </c>
      <c r="D17">
        <v>2238</v>
      </c>
      <c r="E17">
        <v>1492</v>
      </c>
      <c r="F17">
        <v>2016</v>
      </c>
      <c r="G17">
        <v>3022</v>
      </c>
    </row>
    <row r="18" spans="1:7" ht="15.75">
      <c r="A18" s="211" t="s">
        <v>76</v>
      </c>
      <c r="B18">
        <v>7668</v>
      </c>
      <c r="C18">
        <v>16376</v>
      </c>
      <c r="D18">
        <v>1751</v>
      </c>
      <c r="E18">
        <v>1210</v>
      </c>
      <c r="F18">
        <v>1366</v>
      </c>
      <c r="G18">
        <v>2265</v>
      </c>
    </row>
    <row r="19" spans="1:7" ht="15.75">
      <c r="A19" s="211" t="s">
        <v>77</v>
      </c>
      <c r="B19">
        <v>58523</v>
      </c>
      <c r="C19">
        <v>136474</v>
      </c>
      <c r="D19">
        <v>12309</v>
      </c>
      <c r="E19">
        <v>7124</v>
      </c>
      <c r="F19">
        <v>10425</v>
      </c>
      <c r="G19">
        <v>16382</v>
      </c>
    </row>
    <row r="20" spans="1:7" ht="15.75">
      <c r="A20" s="211" t="s">
        <v>78</v>
      </c>
      <c r="B20">
        <v>22746</v>
      </c>
      <c r="C20">
        <v>42196</v>
      </c>
      <c r="D20">
        <v>5559</v>
      </c>
      <c r="E20">
        <v>3712</v>
      </c>
      <c r="F20">
        <v>4052</v>
      </c>
      <c r="G20">
        <v>8622</v>
      </c>
    </row>
    <row r="21" spans="1:7" ht="15.75">
      <c r="A21" s="211" t="s">
        <v>79</v>
      </c>
      <c r="B21">
        <v>53328</v>
      </c>
      <c r="C21">
        <v>126458</v>
      </c>
      <c r="D21">
        <v>10357</v>
      </c>
      <c r="E21">
        <v>5879</v>
      </c>
      <c r="F21">
        <v>9500</v>
      </c>
      <c r="G21">
        <v>14736</v>
      </c>
    </row>
    <row r="22" spans="1:7" ht="15.75">
      <c r="A22" s="211" t="s">
        <v>80</v>
      </c>
      <c r="B22">
        <v>5211</v>
      </c>
      <c r="C22">
        <v>10366</v>
      </c>
      <c r="D22">
        <v>1472</v>
      </c>
      <c r="E22">
        <v>979</v>
      </c>
      <c r="F22">
        <v>1392</v>
      </c>
      <c r="G22">
        <v>2034</v>
      </c>
    </row>
    <row r="23" spans="1:7" ht="15.75">
      <c r="A23" s="211" t="s">
        <v>81</v>
      </c>
      <c r="B23">
        <v>56268</v>
      </c>
      <c r="C23">
        <v>131013</v>
      </c>
      <c r="D23">
        <v>9428</v>
      </c>
      <c r="E23">
        <v>5657</v>
      </c>
      <c r="F23">
        <v>10023</v>
      </c>
      <c r="G23">
        <v>12228</v>
      </c>
    </row>
    <row r="24" spans="1:7" ht="15.75">
      <c r="A24" s="211" t="s">
        <v>82</v>
      </c>
      <c r="B24">
        <v>9544</v>
      </c>
      <c r="C24">
        <v>19575</v>
      </c>
      <c r="D24">
        <v>2318</v>
      </c>
      <c r="E24">
        <v>1524</v>
      </c>
      <c r="F24">
        <v>1700</v>
      </c>
      <c r="G24">
        <v>2860</v>
      </c>
    </row>
    <row r="25" spans="1:7" ht="15.75">
      <c r="A25" s="211" t="s">
        <v>83</v>
      </c>
      <c r="B25">
        <v>7320</v>
      </c>
      <c r="C25">
        <v>18770</v>
      </c>
      <c r="D25">
        <v>1196</v>
      </c>
      <c r="E25">
        <v>979</v>
      </c>
      <c r="F25">
        <v>1304</v>
      </c>
      <c r="G25">
        <v>1799</v>
      </c>
    </row>
    <row r="26" spans="1:7" ht="15.75">
      <c r="A26" s="211" t="s">
        <v>84</v>
      </c>
      <c r="B26">
        <v>43649</v>
      </c>
      <c r="C26">
        <v>100617</v>
      </c>
      <c r="D26">
        <v>9812</v>
      </c>
      <c r="E26">
        <v>5907</v>
      </c>
      <c r="F26">
        <v>9176</v>
      </c>
      <c r="G26">
        <v>13405</v>
      </c>
    </row>
    <row r="27" spans="1:7" ht="15.75">
      <c r="A27" s="211" t="s">
        <v>85</v>
      </c>
      <c r="B27">
        <v>50101</v>
      </c>
      <c r="C27">
        <v>135605</v>
      </c>
      <c r="D27">
        <v>12073</v>
      </c>
      <c r="E27">
        <v>6814</v>
      </c>
      <c r="F27">
        <v>8925</v>
      </c>
      <c r="G27">
        <v>17267</v>
      </c>
    </row>
    <row r="28" spans="1:7" ht="15.75">
      <c r="A28" s="211" t="s">
        <v>86</v>
      </c>
      <c r="B28">
        <v>95758</v>
      </c>
      <c r="C28">
        <v>210875</v>
      </c>
      <c r="D28">
        <v>20219</v>
      </c>
      <c r="E28">
        <v>12294</v>
      </c>
      <c r="F28">
        <v>17058</v>
      </c>
      <c r="G28">
        <v>30195</v>
      </c>
    </row>
    <row r="29" spans="1:7" ht="15.75">
      <c r="A29" s="211" t="s">
        <v>87</v>
      </c>
      <c r="B29">
        <v>25283</v>
      </c>
      <c r="C29">
        <v>60449</v>
      </c>
      <c r="D29">
        <v>5644</v>
      </c>
      <c r="E29">
        <v>3053</v>
      </c>
      <c r="F29">
        <v>4504</v>
      </c>
      <c r="G29">
        <v>7586</v>
      </c>
    </row>
    <row r="30" spans="1:7" ht="15.75">
      <c r="A30" s="211" t="s">
        <v>88</v>
      </c>
      <c r="B30">
        <v>8096</v>
      </c>
      <c r="C30">
        <v>14367</v>
      </c>
      <c r="D30">
        <v>1834</v>
      </c>
      <c r="E30">
        <v>1254</v>
      </c>
      <c r="F30">
        <v>1695</v>
      </c>
      <c r="G30">
        <v>2368</v>
      </c>
    </row>
    <row r="31" spans="1:7" ht="15.75">
      <c r="A31" s="211" t="s">
        <v>89</v>
      </c>
      <c r="B31">
        <v>3043</v>
      </c>
      <c r="C31">
        <v>5798</v>
      </c>
      <c r="D31">
        <v>771</v>
      </c>
      <c r="E31">
        <v>546</v>
      </c>
      <c r="F31">
        <v>542</v>
      </c>
      <c r="G31">
        <v>1013</v>
      </c>
    </row>
    <row r="32" spans="1:7" ht="15.75">
      <c r="A32" s="211" t="s">
        <v>90</v>
      </c>
      <c r="B32">
        <v>35392</v>
      </c>
      <c r="C32">
        <v>83863</v>
      </c>
      <c r="D32">
        <v>6483</v>
      </c>
      <c r="E32">
        <v>4242</v>
      </c>
      <c r="F32">
        <v>6777</v>
      </c>
      <c r="G32">
        <v>9577</v>
      </c>
    </row>
    <row r="33" spans="1:7" ht="15.75">
      <c r="A33" s="211" t="s">
        <v>91</v>
      </c>
      <c r="B33">
        <v>8902</v>
      </c>
      <c r="C33">
        <v>19279</v>
      </c>
      <c r="D33">
        <v>2078</v>
      </c>
      <c r="E33">
        <v>1189</v>
      </c>
      <c r="F33">
        <v>1585</v>
      </c>
      <c r="G33">
        <v>2671</v>
      </c>
    </row>
    <row r="34" spans="1:7" ht="15.75">
      <c r="A34" s="211" t="s">
        <v>92</v>
      </c>
      <c r="B34">
        <v>57598</v>
      </c>
      <c r="C34">
        <v>167562</v>
      </c>
      <c r="D34">
        <v>10106</v>
      </c>
      <c r="E34">
        <v>6552</v>
      </c>
      <c r="F34">
        <v>12215</v>
      </c>
      <c r="G34">
        <v>15400</v>
      </c>
    </row>
    <row r="35" spans="1:7" ht="15.75">
      <c r="A35" s="211" t="s">
        <v>93</v>
      </c>
      <c r="B35">
        <v>6620</v>
      </c>
      <c r="C35">
        <v>15178</v>
      </c>
      <c r="D35">
        <v>1329</v>
      </c>
      <c r="E35">
        <v>880</v>
      </c>
      <c r="F35">
        <v>1179</v>
      </c>
      <c r="G35">
        <v>2155</v>
      </c>
    </row>
    <row r="36" spans="1:7" ht="15.75">
      <c r="A36" s="211" t="s">
        <v>94</v>
      </c>
      <c r="B36">
        <v>59850</v>
      </c>
      <c r="C36">
        <v>142425</v>
      </c>
      <c r="D36">
        <v>10903</v>
      </c>
      <c r="E36">
        <v>7271</v>
      </c>
      <c r="F36">
        <v>12028</v>
      </c>
      <c r="G36">
        <v>17916</v>
      </c>
    </row>
    <row r="37" spans="1:7" ht="15.75">
      <c r="A37" s="211" t="s">
        <v>95</v>
      </c>
      <c r="B37">
        <v>56171</v>
      </c>
      <c r="C37">
        <v>149300</v>
      </c>
      <c r="D37">
        <v>8679</v>
      </c>
      <c r="E37">
        <v>6006</v>
      </c>
      <c r="F37">
        <v>11259</v>
      </c>
      <c r="G37">
        <v>16771</v>
      </c>
    </row>
    <row r="38" spans="1:7" ht="15.75">
      <c r="A38" s="211" t="s">
        <v>96</v>
      </c>
      <c r="B38">
        <v>32483</v>
      </c>
      <c r="C38">
        <v>72396</v>
      </c>
      <c r="D38">
        <v>8044</v>
      </c>
      <c r="E38">
        <v>4565</v>
      </c>
      <c r="F38">
        <v>5786</v>
      </c>
      <c r="G38">
        <v>9896</v>
      </c>
    </row>
    <row r="39" spans="1:7" ht="15.75">
      <c r="A39" s="211" t="s">
        <v>97</v>
      </c>
      <c r="B39">
        <v>4144</v>
      </c>
      <c r="C39">
        <v>7459</v>
      </c>
      <c r="D39">
        <v>1195</v>
      </c>
      <c r="E39">
        <v>898</v>
      </c>
      <c r="F39">
        <v>1110</v>
      </c>
      <c r="G39">
        <v>1358</v>
      </c>
    </row>
    <row r="40" spans="1:7" ht="15.75">
      <c r="A40" s="211" t="s">
        <v>98</v>
      </c>
      <c r="B40">
        <v>17047</v>
      </c>
      <c r="C40">
        <v>41860</v>
      </c>
      <c r="D40">
        <v>2548</v>
      </c>
      <c r="E40">
        <v>1804</v>
      </c>
      <c r="F40">
        <v>3097</v>
      </c>
      <c r="G40">
        <v>4505</v>
      </c>
    </row>
    <row r="41" spans="1:7" ht="15.75">
      <c r="A41" s="211" t="s">
        <v>99</v>
      </c>
      <c r="B41">
        <v>42623</v>
      </c>
      <c r="C41">
        <v>111300</v>
      </c>
      <c r="D41">
        <v>6660</v>
      </c>
      <c r="E41">
        <v>5132</v>
      </c>
      <c r="F41">
        <v>7593</v>
      </c>
      <c r="G41">
        <v>14226</v>
      </c>
    </row>
    <row r="42" spans="1:7" ht="15.75">
      <c r="A42" s="211" t="s">
        <v>100</v>
      </c>
      <c r="B42">
        <v>5550</v>
      </c>
      <c r="C42">
        <v>7893</v>
      </c>
      <c r="D42">
        <v>890</v>
      </c>
      <c r="E42">
        <v>637</v>
      </c>
      <c r="F42">
        <v>988</v>
      </c>
      <c r="G42">
        <v>1285</v>
      </c>
    </row>
    <row r="43" spans="1:7" ht="15.75">
      <c r="A43" s="211" t="s">
        <v>101</v>
      </c>
      <c r="B43">
        <v>31101</v>
      </c>
      <c r="C43">
        <v>71635</v>
      </c>
      <c r="D43">
        <v>5970</v>
      </c>
      <c r="E43">
        <v>2812</v>
      </c>
      <c r="F43">
        <v>4115</v>
      </c>
      <c r="G43">
        <v>6038</v>
      </c>
    </row>
    <row r="44" spans="1:7" ht="15.75">
      <c r="A44" s="211" t="s">
        <v>102</v>
      </c>
      <c r="B44">
        <v>41927</v>
      </c>
      <c r="C44">
        <v>103839</v>
      </c>
      <c r="D44">
        <v>7179</v>
      </c>
      <c r="E44">
        <v>4726</v>
      </c>
      <c r="F44">
        <v>7841</v>
      </c>
      <c r="G44">
        <v>12162</v>
      </c>
    </row>
    <row r="45" spans="1:7" ht="15.75">
      <c r="A45" s="211" t="s">
        <v>103</v>
      </c>
      <c r="B45">
        <v>53431</v>
      </c>
      <c r="C45">
        <v>93625</v>
      </c>
      <c r="D45">
        <v>10270</v>
      </c>
      <c r="E45">
        <v>2473</v>
      </c>
      <c r="F45">
        <v>1045</v>
      </c>
      <c r="G45">
        <v>3214</v>
      </c>
    </row>
    <row r="46" spans="1:7" ht="15.75">
      <c r="A46" s="211" t="s">
        <v>104</v>
      </c>
      <c r="B46">
        <v>38740</v>
      </c>
      <c r="C46">
        <v>109259</v>
      </c>
      <c r="D46">
        <v>5378</v>
      </c>
      <c r="E46">
        <v>3412</v>
      </c>
      <c r="F46">
        <v>6901</v>
      </c>
      <c r="G46">
        <v>7821</v>
      </c>
    </row>
    <row r="47" spans="1:7" ht="15.75">
      <c r="A47" s="211" t="s">
        <v>105</v>
      </c>
      <c r="B47">
        <v>22766</v>
      </c>
      <c r="C47">
        <v>50979</v>
      </c>
      <c r="D47">
        <v>5798</v>
      </c>
      <c r="E47">
        <v>3083</v>
      </c>
      <c r="F47">
        <v>4055</v>
      </c>
      <c r="G47">
        <v>7177</v>
      </c>
    </row>
    <row r="48" spans="1:7" ht="15.75">
      <c r="A48" s="211" t="s">
        <v>106</v>
      </c>
      <c r="B48">
        <v>13845</v>
      </c>
      <c r="C48">
        <v>34637</v>
      </c>
      <c r="D48">
        <v>2483</v>
      </c>
      <c r="E48">
        <v>1595</v>
      </c>
      <c r="F48">
        <v>2466</v>
      </c>
      <c r="G48">
        <v>3748</v>
      </c>
    </row>
    <row r="49" spans="1:7" ht="15.75">
      <c r="A49" s="211" t="s">
        <v>107</v>
      </c>
      <c r="B49">
        <v>13225</v>
      </c>
      <c r="C49">
        <v>28124</v>
      </c>
      <c r="D49">
        <v>3425</v>
      </c>
      <c r="E49">
        <v>2265</v>
      </c>
      <c r="F49">
        <v>2355</v>
      </c>
      <c r="G49">
        <v>5253</v>
      </c>
    </row>
    <row r="50" spans="1:7" ht="15.75">
      <c r="A50" s="211" t="s">
        <v>108</v>
      </c>
      <c r="B50">
        <v>65616</v>
      </c>
      <c r="C50">
        <v>169280</v>
      </c>
      <c r="D50">
        <v>12218</v>
      </c>
      <c r="E50">
        <v>7888</v>
      </c>
      <c r="F50">
        <v>13500</v>
      </c>
      <c r="G50">
        <v>20605</v>
      </c>
    </row>
    <row r="51" spans="1:7" ht="15.75">
      <c r="A51" s="211" t="s">
        <v>109</v>
      </c>
      <c r="B51">
        <v>46108</v>
      </c>
      <c r="C51">
        <v>107443</v>
      </c>
      <c r="D51">
        <v>8443</v>
      </c>
      <c r="E51">
        <v>5065</v>
      </c>
      <c r="F51">
        <v>1318</v>
      </c>
      <c r="G51">
        <v>12899</v>
      </c>
    </row>
    <row r="52" spans="1:7" ht="15.75">
      <c r="A52" s="211" t="s">
        <v>110</v>
      </c>
      <c r="B52">
        <v>11580</v>
      </c>
      <c r="C52">
        <v>28124</v>
      </c>
      <c r="D52">
        <v>2183</v>
      </c>
      <c r="E52">
        <v>1470</v>
      </c>
      <c r="F52">
        <v>2062</v>
      </c>
      <c r="G52">
        <v>3209</v>
      </c>
    </row>
    <row r="53" spans="1:7" ht="15.75">
      <c r="A53" s="211" t="s">
        <v>111</v>
      </c>
      <c r="B53">
        <v>63372</v>
      </c>
      <c r="C53">
        <v>147241</v>
      </c>
      <c r="D53">
        <v>12762</v>
      </c>
      <c r="E53">
        <v>8011</v>
      </c>
      <c r="F53">
        <v>12099</v>
      </c>
      <c r="G53">
        <v>17930</v>
      </c>
    </row>
    <row r="54" spans="1:7" ht="15.75">
      <c r="A54" s="211" t="s">
        <v>112</v>
      </c>
      <c r="B54">
        <v>83623</v>
      </c>
      <c r="C54">
        <v>144608</v>
      </c>
      <c r="D54">
        <v>13098</v>
      </c>
      <c r="E54">
        <v>8880</v>
      </c>
      <c r="F54">
        <v>16200</v>
      </c>
      <c r="G54">
        <v>24075</v>
      </c>
    </row>
    <row r="55" spans="1:7" ht="15.75">
      <c r="A55" s="211" t="s">
        <v>113</v>
      </c>
      <c r="B55">
        <v>8813</v>
      </c>
      <c r="C55">
        <v>17591</v>
      </c>
      <c r="D55">
        <v>2289</v>
      </c>
      <c r="E55">
        <v>1577</v>
      </c>
      <c r="F55">
        <v>2442</v>
      </c>
      <c r="G55">
        <v>2944</v>
      </c>
    </row>
    <row r="56" spans="1:7" ht="15.75">
      <c r="A56" s="211" t="s">
        <v>114</v>
      </c>
      <c r="B56">
        <v>7610</v>
      </c>
      <c r="C56">
        <v>15955</v>
      </c>
      <c r="D56">
        <v>1374</v>
      </c>
      <c r="E56">
        <v>942</v>
      </c>
      <c r="F56">
        <v>1355</v>
      </c>
      <c r="G56">
        <v>1805</v>
      </c>
    </row>
    <row r="57" spans="1:7" ht="15.75">
      <c r="A57" s="211" t="s">
        <v>115</v>
      </c>
      <c r="B57">
        <v>7240</v>
      </c>
      <c r="C57">
        <v>13058</v>
      </c>
      <c r="D57">
        <v>1446</v>
      </c>
      <c r="E57">
        <v>1042</v>
      </c>
      <c r="F57">
        <v>1289</v>
      </c>
      <c r="G57">
        <v>2073</v>
      </c>
    </row>
    <row r="58" spans="1:7" ht="15.75">
      <c r="A58" s="211" t="s">
        <v>116</v>
      </c>
      <c r="B58">
        <v>21021</v>
      </c>
      <c r="C58">
        <v>60342</v>
      </c>
      <c r="D58">
        <v>2084</v>
      </c>
      <c r="E58">
        <v>1565</v>
      </c>
      <c r="F58">
        <v>2813</v>
      </c>
      <c r="G58">
        <v>4119</v>
      </c>
    </row>
    <row r="59" spans="1:7" ht="15.75">
      <c r="A59" s="211" t="s">
        <v>117</v>
      </c>
      <c r="B59">
        <v>6150</v>
      </c>
      <c r="C59">
        <v>11845</v>
      </c>
      <c r="D59">
        <v>1539</v>
      </c>
      <c r="E59">
        <v>1014</v>
      </c>
      <c r="F59">
        <v>1489</v>
      </c>
      <c r="G59">
        <v>1999</v>
      </c>
    </row>
    <row r="60" spans="1:7" ht="15.75">
      <c r="A60" s="211" t="s">
        <v>118</v>
      </c>
      <c r="B60">
        <v>52414</v>
      </c>
      <c r="C60">
        <v>91372</v>
      </c>
      <c r="D60">
        <v>6882</v>
      </c>
      <c r="E60">
        <v>2551</v>
      </c>
      <c r="F60">
        <v>9337</v>
      </c>
      <c r="G60">
        <v>5816</v>
      </c>
    </row>
    <row r="61" spans="1:7" ht="15.75">
      <c r="A61" s="211" t="s">
        <v>119</v>
      </c>
      <c r="B61">
        <v>3540</v>
      </c>
      <c r="C61">
        <v>6669</v>
      </c>
      <c r="D61">
        <v>972</v>
      </c>
      <c r="E61">
        <v>740</v>
      </c>
      <c r="F61">
        <v>1024</v>
      </c>
      <c r="G61">
        <v>1298</v>
      </c>
    </row>
    <row r="62" spans="1:7" ht="15.75">
      <c r="A62" s="211" t="s">
        <v>120</v>
      </c>
      <c r="B62">
        <v>2777</v>
      </c>
      <c r="C62">
        <v>3000</v>
      </c>
      <c r="D62">
        <v>326</v>
      </c>
      <c r="E62">
        <v>231</v>
      </c>
      <c r="F62">
        <v>494</v>
      </c>
      <c r="G62">
        <v>597</v>
      </c>
    </row>
    <row r="63" spans="1:7" ht="15.75">
      <c r="A63" s="211" t="s">
        <v>121</v>
      </c>
      <c r="B63">
        <v>15134</v>
      </c>
      <c r="C63">
        <v>27208</v>
      </c>
      <c r="D63">
        <v>2987</v>
      </c>
      <c r="E63">
        <v>2117</v>
      </c>
      <c r="F63">
        <v>2696</v>
      </c>
      <c r="G63">
        <v>4228</v>
      </c>
    </row>
    <row r="64" spans="1:7" ht="15.75">
      <c r="A64" s="211" t="s">
        <v>122</v>
      </c>
      <c r="B64">
        <v>7926</v>
      </c>
      <c r="C64">
        <v>16359</v>
      </c>
      <c r="D64">
        <v>1885</v>
      </c>
      <c r="E64">
        <v>1270</v>
      </c>
      <c r="F64">
        <v>1411</v>
      </c>
      <c r="G64">
        <v>2401</v>
      </c>
    </row>
    <row r="65" spans="1:7" ht="15.75">
      <c r="A65" s="211" t="s">
        <v>123</v>
      </c>
      <c r="B65">
        <v>47117</v>
      </c>
      <c r="C65">
        <v>93145</v>
      </c>
      <c r="D65">
        <v>6230</v>
      </c>
      <c r="E65">
        <v>2740</v>
      </c>
      <c r="F65">
        <v>3503</v>
      </c>
      <c r="G65">
        <v>6291</v>
      </c>
    </row>
    <row r="66" spans="1:7" ht="15.75">
      <c r="A66" s="211" t="s">
        <v>124</v>
      </c>
      <c r="B66">
        <v>5047</v>
      </c>
      <c r="C66">
        <v>9486</v>
      </c>
      <c r="D66">
        <v>1218</v>
      </c>
      <c r="E66">
        <v>862</v>
      </c>
      <c r="F66">
        <v>899</v>
      </c>
      <c r="G66">
        <v>1879</v>
      </c>
    </row>
    <row r="67" spans="1:7" ht="15.75">
      <c r="A67" s="211" t="s">
        <v>125</v>
      </c>
      <c r="B67">
        <v>16670</v>
      </c>
      <c r="C67">
        <v>25870</v>
      </c>
      <c r="D67">
        <v>1687</v>
      </c>
      <c r="E67">
        <v>1118</v>
      </c>
      <c r="F67">
        <v>2969</v>
      </c>
      <c r="G67">
        <v>2813</v>
      </c>
    </row>
    <row r="68" spans="1:7" ht="15.75">
      <c r="A68" s="211" t="s">
        <v>126</v>
      </c>
      <c r="B68">
        <v>9176</v>
      </c>
      <c r="C68">
        <v>20449</v>
      </c>
      <c r="D68">
        <v>2230</v>
      </c>
      <c r="E68">
        <v>1235</v>
      </c>
      <c r="F68">
        <v>1745</v>
      </c>
      <c r="G68">
        <v>2691</v>
      </c>
    </row>
    <row r="69" spans="1:7" ht="15.75">
      <c r="A69" s="211" t="s">
        <v>127</v>
      </c>
      <c r="B69">
        <v>3031</v>
      </c>
      <c r="C69">
        <v>5891</v>
      </c>
      <c r="D69">
        <v>712</v>
      </c>
      <c r="E69">
        <v>478</v>
      </c>
      <c r="F69">
        <v>539</v>
      </c>
      <c r="G69">
        <v>953</v>
      </c>
    </row>
    <row r="70" spans="1:7" ht="15.75">
      <c r="A70" s="211" t="s">
        <v>128</v>
      </c>
      <c r="B70">
        <v>12425</v>
      </c>
      <c r="C70">
        <v>26815</v>
      </c>
      <c r="D70">
        <v>3022</v>
      </c>
      <c r="E70">
        <v>1883</v>
      </c>
      <c r="F70">
        <v>2213</v>
      </c>
      <c r="G70">
        <v>4332</v>
      </c>
    </row>
    <row r="71" spans="1:7" ht="15.75">
      <c r="A71" s="211" t="s">
        <v>129</v>
      </c>
      <c r="B71">
        <v>13982</v>
      </c>
      <c r="C71">
        <v>32029</v>
      </c>
      <c r="D71">
        <v>3050</v>
      </c>
      <c r="E71">
        <v>1696</v>
      </c>
      <c r="F71">
        <v>2490</v>
      </c>
      <c r="G71">
        <v>4264</v>
      </c>
    </row>
    <row r="72" spans="1:7" ht="15.75">
      <c r="A72" s="211" t="s">
        <v>130</v>
      </c>
      <c r="B72">
        <v>21012</v>
      </c>
      <c r="C72">
        <v>41440</v>
      </c>
      <c r="D72">
        <v>4546</v>
      </c>
      <c r="E72">
        <v>2892</v>
      </c>
      <c r="F72">
        <v>3743</v>
      </c>
      <c r="G72">
        <v>5836</v>
      </c>
    </row>
    <row r="73" spans="1:7" ht="15.75">
      <c r="A73" s="211" t="s">
        <v>131</v>
      </c>
      <c r="B73">
        <v>2310</v>
      </c>
      <c r="C73">
        <v>4251</v>
      </c>
      <c r="D73">
        <v>570</v>
      </c>
      <c r="E73">
        <v>413</v>
      </c>
      <c r="F73">
        <v>424</v>
      </c>
      <c r="G73">
        <v>660</v>
      </c>
    </row>
    <row r="74" spans="1:7" ht="15.75">
      <c r="A74" s="211" t="s">
        <v>132</v>
      </c>
      <c r="B74">
        <v>61595</v>
      </c>
      <c r="C74">
        <v>151334</v>
      </c>
      <c r="D74">
        <v>11674</v>
      </c>
      <c r="E74">
        <v>7287</v>
      </c>
      <c r="F74">
        <v>10972</v>
      </c>
      <c r="G74">
        <v>18203</v>
      </c>
    </row>
    <row r="75" spans="1:7" ht="15.75">
      <c r="A75" s="211" t="s">
        <v>133</v>
      </c>
      <c r="B75">
        <v>55096</v>
      </c>
      <c r="C75">
        <v>154880</v>
      </c>
      <c r="D75">
        <v>9253</v>
      </c>
      <c r="E75">
        <v>6648</v>
      </c>
      <c r="F75">
        <v>13500</v>
      </c>
      <c r="G75">
        <v>17028</v>
      </c>
    </row>
    <row r="76" spans="1:7" ht="15.75">
      <c r="A76" s="211" t="s">
        <v>134</v>
      </c>
      <c r="B76">
        <v>14749</v>
      </c>
      <c r="C76">
        <v>35519</v>
      </c>
      <c r="D76">
        <v>3079</v>
      </c>
      <c r="E76">
        <v>1445</v>
      </c>
      <c r="F76">
        <v>2627</v>
      </c>
      <c r="G76">
        <v>4005</v>
      </c>
    </row>
    <row r="77" spans="1:7" ht="15.75">
      <c r="A77" s="211" t="s">
        <v>135</v>
      </c>
      <c r="B77">
        <v>59214</v>
      </c>
      <c r="C77">
        <v>161575</v>
      </c>
      <c r="D77">
        <v>7886</v>
      </c>
      <c r="E77">
        <v>4766</v>
      </c>
      <c r="F77">
        <v>10548</v>
      </c>
      <c r="G77">
        <v>10800</v>
      </c>
    </row>
    <row r="78" spans="1:7" ht="15.75">
      <c r="A78" s="211" t="s">
        <v>136</v>
      </c>
      <c r="B78">
        <v>36923</v>
      </c>
      <c r="C78">
        <v>74090</v>
      </c>
      <c r="D78">
        <v>5714</v>
      </c>
      <c r="E78">
        <v>1841</v>
      </c>
      <c r="F78">
        <v>6577</v>
      </c>
      <c r="G78">
        <v>5220</v>
      </c>
    </row>
    <row r="79" spans="1:7" ht="15.75">
      <c r="A79" s="211" t="s">
        <v>137</v>
      </c>
      <c r="B79">
        <v>56571</v>
      </c>
      <c r="C79">
        <v>144541</v>
      </c>
      <c r="D79">
        <v>9203</v>
      </c>
      <c r="E79">
        <v>6624</v>
      </c>
      <c r="F79">
        <v>11313</v>
      </c>
      <c r="G79">
        <v>15574</v>
      </c>
    </row>
    <row r="80" spans="1:7" ht="15.75">
      <c r="A80" s="211" t="s">
        <v>138</v>
      </c>
      <c r="B80">
        <v>3612</v>
      </c>
      <c r="C80">
        <v>7088</v>
      </c>
      <c r="D80">
        <v>1025</v>
      </c>
      <c r="E80">
        <v>744</v>
      </c>
      <c r="F80">
        <v>643</v>
      </c>
      <c r="G80">
        <v>1189</v>
      </c>
    </row>
    <row r="81" spans="1:7" s="212" customFormat="1">
      <c r="A81" s="212" t="str">
        <f>Lists!E5</f>
        <v>&gt; Victoria</v>
      </c>
      <c r="B81" s="213">
        <f>SUM(B2:B80)</f>
        <v>2281091</v>
      </c>
      <c r="C81" s="213">
        <f t="shared" ref="C81:G81" si="0">SUM(C2:C80)</f>
        <v>5344927</v>
      </c>
      <c r="D81" s="213">
        <f t="shared" si="0"/>
        <v>419152</v>
      </c>
      <c r="E81" s="213">
        <f t="shared" si="0"/>
        <v>256975</v>
      </c>
      <c r="F81" s="213">
        <f t="shared" si="0"/>
        <v>406341</v>
      </c>
      <c r="G81" s="213">
        <f t="shared" si="0"/>
        <v>605923</v>
      </c>
    </row>
    <row r="82" spans="1:7" s="212" customFormat="1">
      <c r="A82" s="212" t="str">
        <f>Lists!E15</f>
        <v>\\ Selected LGAs</v>
      </c>
      <c r="B82" s="213">
        <f t="array" ref="B82">SUM(IF(SelectedRegionsList&lt;&gt;"",B$2:B$80,0))</f>
        <v>0</v>
      </c>
      <c r="C82" s="213">
        <f t="array" ref="C82">SUM(IF(SelectedRegionsList&lt;&gt;"",C$2:C$80,0))</f>
        <v>0</v>
      </c>
      <c r="D82" s="213">
        <f t="array" ref="D82">SUM(IF(SelectedRegionsList&lt;&gt;"",D$2:D$80,0))</f>
        <v>0</v>
      </c>
      <c r="E82" s="213">
        <f t="array" ref="E82">SUM(IF(SelectedRegionsList&lt;&gt;"",E$2:E$80,0))</f>
        <v>0</v>
      </c>
      <c r="F82" s="213">
        <f t="array" ref="F82">SUM(IF(SelectedRegionsList&lt;&gt;"",F$2:F$80,0))</f>
        <v>0</v>
      </c>
      <c r="G82" s="213">
        <f t="array" ref="G82">SUM(IF(SelectedRegionsList&lt;&gt;"",G$2:G$80,0))</f>
        <v>0</v>
      </c>
    </row>
    <row r="83" spans="1:7" s="212" customFormat="1">
      <c r="A83" s="212" t="s">
        <v>221</v>
      </c>
      <c r="B83" s="213">
        <f>B3+B4+B12+B16+B22+B26+B30+B39+B40+B55+B59+B61+B68</f>
        <v>161105</v>
      </c>
      <c r="C83" s="213">
        <f t="shared" ref="C83:G83" si="1">C3+C4+C12+C16+C22+C26+C30+C39+C40+C55+C59+C61+C68</f>
        <v>354787</v>
      </c>
      <c r="D83" s="213">
        <f t="shared" si="1"/>
        <v>37593</v>
      </c>
      <c r="E83" s="213">
        <f t="shared" si="1"/>
        <v>23567</v>
      </c>
      <c r="F83" s="213">
        <f t="shared" si="1"/>
        <v>36065</v>
      </c>
      <c r="G83" s="213">
        <f t="shared" si="1"/>
        <v>50569</v>
      </c>
    </row>
    <row r="84" spans="1:7" s="212" customFormat="1">
      <c r="A84" s="212" t="s">
        <v>224</v>
      </c>
      <c r="B84" s="213">
        <f>B10+B37+B44+B50+B65+B74+B79</f>
        <v>394151</v>
      </c>
      <c r="C84" s="213">
        <f t="shared" ref="C84:G84" si="2">C10+C37+C44+C50+C65+C74+C79</f>
        <v>970623</v>
      </c>
      <c r="D84" s="213">
        <f t="shared" si="2"/>
        <v>63651</v>
      </c>
      <c r="E84" s="213">
        <f t="shared" si="2"/>
        <v>40538</v>
      </c>
      <c r="F84" s="213">
        <f t="shared" si="2"/>
        <v>64338</v>
      </c>
      <c r="G84" s="213">
        <f t="shared" si="2"/>
        <v>99979</v>
      </c>
    </row>
    <row r="85" spans="1:7" s="212" customFormat="1">
      <c r="A85" s="212" t="s">
        <v>225</v>
      </c>
      <c r="B85" s="214">
        <f>B6+B7+B20+B38+B63+B72</f>
        <v>134253</v>
      </c>
      <c r="C85" s="214">
        <f t="shared" ref="C85:G85" si="3">C6+C7+C20+C38+C63+C72</f>
        <v>255718</v>
      </c>
      <c r="D85" s="214">
        <f t="shared" si="3"/>
        <v>28885</v>
      </c>
      <c r="E85" s="214">
        <f t="shared" si="3"/>
        <v>18439</v>
      </c>
      <c r="F85" s="214">
        <f t="shared" si="3"/>
        <v>23914</v>
      </c>
      <c r="G85" s="214">
        <f t="shared" si="3"/>
        <v>40907</v>
      </c>
    </row>
    <row r="86" spans="1:7" s="212" customFormat="1">
      <c r="A86" s="212" t="s">
        <v>226</v>
      </c>
      <c r="B86" s="213">
        <f>B9+B13+B29+B42+B48+B49+B57+B66</f>
        <v>93191</v>
      </c>
      <c r="C86" s="213">
        <f t="shared" ref="C86:G86" si="4">C9+C13+C29+C42+C48+C49+C57+C66</f>
        <v>203659</v>
      </c>
      <c r="D86" s="213">
        <f t="shared" si="4"/>
        <v>20861</v>
      </c>
      <c r="E86" s="213">
        <f t="shared" si="4"/>
        <v>12994</v>
      </c>
      <c r="F86" s="213">
        <f t="shared" si="4"/>
        <v>17388</v>
      </c>
      <c r="G86" s="213">
        <f t="shared" si="4"/>
        <v>30222</v>
      </c>
    </row>
    <row r="87" spans="1:7" s="212" customFormat="1">
      <c r="A87" s="212" t="s">
        <v>222</v>
      </c>
      <c r="B87" s="214">
        <f>B2+B9+B35+B49+B69+B70+B76</f>
        <v>63614</v>
      </c>
      <c r="C87" s="214">
        <f t="shared" ref="C87:G87" si="5">C2+C9+C35+C49+C69+C70+C76</f>
        <v>137055</v>
      </c>
      <c r="D87" s="214">
        <f t="shared" si="5"/>
        <v>14827</v>
      </c>
      <c r="E87" s="214">
        <f t="shared" si="5"/>
        <v>8986</v>
      </c>
      <c r="F87" s="214">
        <f t="shared" si="5"/>
        <v>11328</v>
      </c>
      <c r="G87" s="214">
        <f t="shared" si="5"/>
        <v>21268</v>
      </c>
    </row>
    <row r="88" spans="1:7" s="212" customFormat="1">
      <c r="A88" s="212" t="s">
        <v>227</v>
      </c>
      <c r="B88" s="213">
        <f>B5+B19+B34+B41+B45+B53+B58+B75+B79</f>
        <v>456432</v>
      </c>
      <c r="C88" s="213">
        <f t="shared" ref="C88:G88" si="6">C5+C19+C34+C41+C45+C53+C58+C75+C79</f>
        <v>1134271</v>
      </c>
      <c r="D88" s="213">
        <f t="shared" si="6"/>
        <v>80810</v>
      </c>
      <c r="E88" s="213">
        <f t="shared" si="6"/>
        <v>49307</v>
      </c>
      <c r="F88" s="213">
        <f t="shared" si="6"/>
        <v>79842</v>
      </c>
      <c r="G88" s="213">
        <f t="shared" si="6"/>
        <v>117111</v>
      </c>
    </row>
    <row r="89" spans="1:7" s="212" customFormat="1">
      <c r="A89" s="212" t="s">
        <v>220</v>
      </c>
      <c r="B89" s="213">
        <f>B6+B7+B8+B14+B15+B27+B36+B54</f>
        <v>389955</v>
      </c>
      <c r="C89" s="213">
        <f t="shared" ref="C89:G89" si="7">C6+C7+C8+C14+C15+C27+C36+C54</f>
        <v>913488</v>
      </c>
      <c r="D89" s="213">
        <f t="shared" si="7"/>
        <v>66106</v>
      </c>
      <c r="E89" s="213">
        <f t="shared" si="7"/>
        <v>42865</v>
      </c>
      <c r="F89" s="213">
        <f t="shared" si="7"/>
        <v>71973</v>
      </c>
      <c r="G89" s="213">
        <f t="shared" si="7"/>
        <v>108021</v>
      </c>
    </row>
    <row r="90" spans="1:7" s="212" customFormat="1">
      <c r="A90" s="212" t="s">
        <v>223</v>
      </c>
      <c r="B90" s="213">
        <f>B11+B28+B32+B43+B46+B51+B52+B77</f>
        <v>383315</v>
      </c>
      <c r="C90" s="213">
        <f t="shared" ref="C90:G90" si="8">C11+C28+C32+C43+C46+C51+C52+C77</f>
        <v>955509</v>
      </c>
      <c r="D90" s="213">
        <f t="shared" si="8"/>
        <v>70067</v>
      </c>
      <c r="E90" s="213">
        <f t="shared" si="8"/>
        <v>42970</v>
      </c>
      <c r="F90" s="213">
        <f t="shared" si="8"/>
        <v>66188</v>
      </c>
      <c r="G90" s="213">
        <f t="shared" si="8"/>
        <v>100882</v>
      </c>
    </row>
    <row r="91" spans="1:7">
      <c r="A91" s="212" t="str">
        <f>Lists!E6</f>
        <v>\\ Selected Alliances</v>
      </c>
      <c r="B91" s="213">
        <f t="array" ref="B91">SUM(IF(SelectedAllianceList&lt;&gt;"",B$83:B$90,0))</f>
        <v>0</v>
      </c>
      <c r="C91" s="213">
        <f t="array" ref="C91">SUM(IF(SelectedAllianceList&lt;&gt;"",C$83:C$90,0))</f>
        <v>0</v>
      </c>
      <c r="D91" s="213">
        <f t="array" ref="D91">SUM(IF(SelectedAllianceList&lt;&gt;"",D$83:D$90,0))</f>
        <v>0</v>
      </c>
      <c r="E91" s="213">
        <f t="array" ref="E91">SUM(IF(SelectedAllianceList&lt;&gt;"",E$83:E$90,0))</f>
        <v>0</v>
      </c>
      <c r="F91" s="213">
        <f t="array" ref="F91">SUM(IF(SelectedAllianceList&lt;&gt;"",F$83:F$90,0))</f>
        <v>0</v>
      </c>
      <c r="G91" s="213">
        <f t="array" ref="G91">SUM(IF(SelectedAllianceList&lt;&gt;"",G$83:G$90,0))</f>
        <v>0</v>
      </c>
    </row>
  </sheetData>
  <pageMargins left="0.75" right="0.75" top="1" bottom="1" header="0.5" footer="0.5"/>
  <pageSetup paperSize="8" orientation="portrait" horizontalDpi="4294967292" verticalDpi="4294967292"/>
</worksheet>
</file>

<file path=xl/worksheets/sheet6.xml><?xml version="1.0" encoding="utf-8"?>
<worksheet xmlns="http://schemas.openxmlformats.org/spreadsheetml/2006/main" xmlns:r="http://schemas.openxmlformats.org/officeDocument/2006/relationships">
  <dimension ref="A2:N94"/>
  <sheetViews>
    <sheetView showGridLines="0" topLeftCell="C1" workbookViewId="0">
      <selection activeCell="E5" sqref="E5"/>
    </sheetView>
  </sheetViews>
  <sheetFormatPr defaultColWidth="8.125" defaultRowHeight="20.100000000000001" customHeight="1"/>
  <cols>
    <col min="1" max="1" width="8.125" style="2"/>
    <col min="2" max="2" width="14.375" style="2" customWidth="1"/>
    <col min="3" max="4" width="8.125" style="2"/>
    <col min="5" max="5" width="13.125" style="2" bestFit="1" customWidth="1"/>
    <col min="6" max="6" width="8.125" style="2"/>
    <col min="7" max="7" width="16.5" style="2" customWidth="1"/>
    <col min="8" max="10" width="8.125" style="2"/>
    <col min="11" max="11" width="27.125" style="2" bestFit="1" customWidth="1"/>
    <col min="12" max="16384" width="8.125" style="2"/>
  </cols>
  <sheetData>
    <row r="2" spans="1:14" s="4" customFormat="1" ht="20.100000000000001" customHeight="1">
      <c r="A2" s="5" t="s">
        <v>0</v>
      </c>
    </row>
    <row r="4" spans="1:14" ht="20.100000000000001" customHeight="1">
      <c r="B4" s="2" t="s">
        <v>52</v>
      </c>
      <c r="E4" s="2" t="s">
        <v>139</v>
      </c>
      <c r="G4" s="2" t="s">
        <v>213</v>
      </c>
      <c r="I4" s="2" t="s">
        <v>212</v>
      </c>
      <c r="K4" s="2" t="s">
        <v>229</v>
      </c>
      <c r="N4" s="2" t="s">
        <v>212</v>
      </c>
    </row>
    <row r="5" spans="1:14" ht="20.100000000000001" customHeight="1">
      <c r="B5" s="26" t="s">
        <v>48</v>
      </c>
      <c r="C5" s="27" t="s">
        <v>32</v>
      </c>
      <c r="D5" s="3"/>
      <c r="E5" s="6" t="s">
        <v>233</v>
      </c>
      <c r="G5" s="194" t="str">
        <f>IF(MarketModel!B28="x",MarketModel!C28&amp;", ", "")</f>
        <v/>
      </c>
      <c r="I5" s="2" t="str">
        <f>IF(MarketModel!$Q$6&lt;&gt;Lists!E15,"",
LEFT(CONCATENATE(Lists!G5,Lists!G6,Lists!G7,Lists!G8,Lists!G9,Lists!G10,Lists!G11,Lists!G12,Lists!G13,Lists!G14,Lists!G15,Lists!G16,Lists!G17,Lists!G18,Lists!G19,Lists!G20,Lists!G21,Lists!G22,Lists!G23,Lists!G24,Lists!G25,Lists!G26,Lists!G27,Lists!G28,Lists!G29,Lists!G30,Lists!G31,Lists!G32,Lists!G33,Lists!G34,Lists!G35,Lists!G36,Lists!G37,Lists!G38,Lists!G39,Lists!G40,Lists!G41,Lists!G42,Lists!G43,Lists!G44,Lists!G45,Lists!G46,Lists!G47,Lists!G48,Lists!G49,Lists!G50,Lists!G51,Lists!G52,Lists!G53,Lists!G54,Lists!G55,Lists!G56,Lists!G57,Lists!G58,Lists!G59,Lists!G60,Lists!G61,Lists!G62,Lists!G63,Lists!G64,Lists!G65,Lists!G65,Lists!G67,Lists!G68,Lists!G69,Lists!G70,Lists!G71,Lists!G72,Lists!G73,Lists!G74,Lists!G75,Lists!G76,Lists!G77,Lists!G78,Lists!G79,Lists!G80,Lists!G81,Lists!G82,Lists!G83),
LEN(CONCATENATE(Lists!G5,Lists!G6,Lists!G7,Lists!G8,Lists!G9,Lists!G10,Lists!G11,Lists!G12,Lists!G13,Lists!G14,Lists!G15,Lists!G16,Lists!G17,Lists!G18,Lists!G19,Lists!G20,Lists!G21,Lists!G22,Lists!G23,Lists!G24,Lists!G25,Lists!G26,Lists!G27,Lists!G28,Lists!G29,Lists!G30,Lists!G31,Lists!G32,Lists!G33,Lists!G34,Lists!G35,Lists!G36,Lists!G37,Lists!G38,Lists!G39,Lists!G40,Lists!G41,Lists!G42,Lists!G43,Lists!G44,Lists!G45,Lists!G46,Lists!G47,Lists!G48,Lists!G49,Lists!G50,Lists!G51,Lists!G52,Lists!G53,Lists!G54,Lists!G55,Lists!G56,Lists!G57,Lists!G58,Lists!G59,Lists!G60,Lists!G61,Lists!G62,Lists!G63,Lists!G64,Lists!G65,Lists!G65,Lists!G67,Lists!G68,Lists!G69,Lists!G70,Lists!G71,Lists!G72,Lists!G73,Lists!G74,Lists!G75,Lists!G76,Lists!G77,Lists!G78,Lists!G79,Lists!G80,Lists!G81,Lists!G82,Lists!G83))-2))</f>
        <v/>
      </c>
      <c r="K5" s="6" t="str">
        <f>IF(MarketModel!B26="x",E7&amp;", ","")</f>
        <v/>
      </c>
      <c r="L5" s="189"/>
      <c r="N5" s="2" t="str">
        <f>IF(MarketModel!$Q$6&lt;&gt;Lists!E6,"",
LEFT(CONCATENATE(Lists!K5,Lists!K6,Lists!K7,Lists!K8,Lists!K9,Lists!K10,Lists!K11,Lists!K12),
LEN(CONCATENATE(Lists!K5,Lists!K6,Lists!K7,Lists!K8,Lists!K9,Lists!K10,Lists!K11,Lists!K12))-2))</f>
        <v/>
      </c>
    </row>
    <row r="6" spans="1:14" ht="20.100000000000001" customHeight="1">
      <c r="B6" s="28" t="s">
        <v>45</v>
      </c>
      <c r="C6" s="29" t="s">
        <v>38</v>
      </c>
      <c r="D6" s="3"/>
      <c r="E6" s="7" t="s">
        <v>231</v>
      </c>
      <c r="G6" s="195" t="str">
        <f>IF(MarketModel!B29="x",MarketModel!C29&amp;", ","")</f>
        <v/>
      </c>
      <c r="K6" s="7" t="str">
        <f>IF(MarketModel!G$26="x",E8&amp;", ","")</f>
        <v/>
      </c>
      <c r="L6" s="189"/>
    </row>
    <row r="7" spans="1:14" ht="20.100000000000001" customHeight="1">
      <c r="B7" s="28" t="s">
        <v>46</v>
      </c>
      <c r="C7" s="29" t="s">
        <v>39</v>
      </c>
      <c r="D7" s="3"/>
      <c r="E7" s="7" t="str">
        <f>demographicData!A83</f>
        <v>Central Victoria Greenhouse Alliance</v>
      </c>
      <c r="G7" s="195" t="str">
        <f>IF(MarketModel!B30="x",MarketModel!C30&amp;", ","")</f>
        <v/>
      </c>
      <c r="K7" s="7" t="str">
        <f>IF(MarketModel!K$26="x",E9&amp;", ","")</f>
        <v/>
      </c>
      <c r="L7" s="189"/>
    </row>
    <row r="8" spans="1:14" ht="20.100000000000001" customHeight="1">
      <c r="B8" s="30" t="s">
        <v>47</v>
      </c>
      <c r="C8" s="31" t="s">
        <v>3</v>
      </c>
      <c r="D8" s="3"/>
      <c r="E8" s="7" t="str">
        <f>demographicData!A84</f>
        <v>Eastern Alliance for Greenhouse Action</v>
      </c>
      <c r="G8" s="195" t="str">
        <f>IF(MarketModel!B31="x",MarketModel!C31&amp;", ","")</f>
        <v/>
      </c>
      <c r="K8" s="7" t="str">
        <f>IF(MarketModel!Q$26="x",E10&amp;", ","")</f>
        <v/>
      </c>
      <c r="L8" s="189"/>
    </row>
    <row r="9" spans="1:14" ht="20.100000000000001" customHeight="1">
      <c r="B9" s="3"/>
      <c r="E9" s="7" t="str">
        <f>demographicData!A85</f>
        <v>Gippsland Climate Change Network</v>
      </c>
      <c r="G9" s="195" t="str">
        <f>IF(MarketModel!B32="x",MarketModel!C32&amp;", ","")</f>
        <v/>
      </c>
      <c r="K9" s="7" t="str">
        <f>IF(MarketModel!T$26="x",E11&amp;", ","")</f>
        <v/>
      </c>
      <c r="L9" s="189"/>
    </row>
    <row r="10" spans="1:14" ht="20.100000000000001" customHeight="1">
      <c r="B10" s="2" t="s">
        <v>51</v>
      </c>
      <c r="E10" s="7" t="str">
        <f>demographicData!A86</f>
        <v>Goulburn Broken Greenhouse Alliance</v>
      </c>
      <c r="G10" s="195" t="str">
        <f>IF(MarketModel!B33="x",MarketModel!C33&amp;", ","")</f>
        <v/>
      </c>
      <c r="K10" s="7" t="str">
        <f>IF(MarketModel!X$26="x",E12&amp;", ","")</f>
        <v/>
      </c>
      <c r="L10" s="189"/>
    </row>
    <row r="11" spans="1:14" ht="20.100000000000001" customHeight="1">
      <c r="B11" s="32">
        <v>2</v>
      </c>
      <c r="C11" s="33" t="s">
        <v>33</v>
      </c>
      <c r="E11" s="7" t="str">
        <f>demographicData!A87</f>
        <v>North East Greenhouse Alliance</v>
      </c>
      <c r="G11" s="195" t="str">
        <f>IF(MarketModel!B34="x",MarketModel!C34&amp;", ","")</f>
        <v/>
      </c>
      <c r="K11" s="7" t="str">
        <f>IF(MarketModel!AB$26="x",E13&amp;", ","")</f>
        <v/>
      </c>
      <c r="L11" s="189"/>
    </row>
    <row r="12" spans="1:14" ht="20.100000000000001" customHeight="1">
      <c r="B12" s="34">
        <v>3</v>
      </c>
      <c r="C12" s="35" t="s">
        <v>35</v>
      </c>
      <c r="E12" s="7" t="str">
        <f>demographicData!A88</f>
        <v>Northern Alliance for Greenhouse Action</v>
      </c>
      <c r="G12" s="195" t="str">
        <f>IF(MarketModel!B35="x",MarketModel!C35&amp;", ","")</f>
        <v/>
      </c>
      <c r="K12" s="8" t="str">
        <f>IF(MarketModel!AD$26="x",E14&amp;", ","")</f>
        <v/>
      </c>
      <c r="L12" s="189"/>
    </row>
    <row r="13" spans="1:14" ht="20.100000000000001" customHeight="1">
      <c r="B13" s="34">
        <v>4</v>
      </c>
      <c r="C13" s="35" t="s">
        <v>36</v>
      </c>
      <c r="E13" s="7" t="str">
        <f>demographicData!A89</f>
        <v>South East Councils Climate Change Alliance</v>
      </c>
      <c r="G13" s="195" t="str">
        <f>IF(MarketModel!B36="x",MarketModel!C36&amp;", ","")</f>
        <v/>
      </c>
    </row>
    <row r="14" spans="1:14" ht="20.100000000000001" customHeight="1">
      <c r="B14" s="36">
        <v>5</v>
      </c>
      <c r="C14" s="37" t="s">
        <v>37</v>
      </c>
      <c r="E14" s="7" t="str">
        <f>demographicData!A90</f>
        <v>Western Alliance for Greenhouse Action</v>
      </c>
      <c r="G14" s="195" t="str">
        <f>IF(MarketModel!B37="x",MarketModel!C37&amp;", ","")</f>
        <v/>
      </c>
    </row>
    <row r="15" spans="1:14" ht="20.100000000000001" customHeight="1">
      <c r="E15" s="7" t="s">
        <v>232</v>
      </c>
      <c r="G15" s="195" t="str">
        <f>IF(MarketModel!B38="x",MarketModel!C38&amp;", ","")</f>
        <v/>
      </c>
    </row>
    <row r="16" spans="1:14" ht="20.100000000000001" customHeight="1">
      <c r="B16" s="2" t="s">
        <v>50</v>
      </c>
      <c r="E16" s="7" t="s">
        <v>60</v>
      </c>
      <c r="G16" s="195" t="str">
        <f>IF(MarketModel!B39="x",MarketModel!C39&amp;", ","")</f>
        <v/>
      </c>
    </row>
    <row r="17" spans="2:7" ht="20.100000000000001" customHeight="1">
      <c r="B17" s="32">
        <v>5</v>
      </c>
      <c r="C17" s="38" t="s">
        <v>34</v>
      </c>
      <c r="E17" s="7" t="s">
        <v>61</v>
      </c>
      <c r="G17" s="195" t="str">
        <f>IF(MarketModel!B40="x",MarketModel!C40&amp;", ","")</f>
        <v/>
      </c>
    </row>
    <row r="18" spans="2:7" ht="20.100000000000001" customHeight="1">
      <c r="B18" s="34">
        <v>10</v>
      </c>
      <c r="C18" s="39" t="s">
        <v>40</v>
      </c>
      <c r="E18" s="7" t="s">
        <v>62</v>
      </c>
      <c r="G18" s="195" t="str">
        <f>IF(MarketModel!B41="x",MarketModel!C41&amp;", ","")</f>
        <v/>
      </c>
    </row>
    <row r="19" spans="2:7" ht="20.100000000000001" customHeight="1">
      <c r="B19" s="36">
        <v>15</v>
      </c>
      <c r="C19" s="40" t="s">
        <v>41</v>
      </c>
      <c r="E19" s="7" t="s">
        <v>63</v>
      </c>
      <c r="G19" s="195" t="str">
        <f>IF(MarketModel!I28="x",MarketModel!J28&amp;", ","")</f>
        <v/>
      </c>
    </row>
    <row r="20" spans="2:7" ht="20.100000000000001" customHeight="1">
      <c r="E20" s="7" t="s">
        <v>64</v>
      </c>
      <c r="G20" s="195" t="str">
        <f>IF(MarketModel!I29="x",MarketModel!J29&amp;", ","")</f>
        <v/>
      </c>
    </row>
    <row r="21" spans="2:7" ht="20.100000000000001" customHeight="1">
      <c r="E21" s="7" t="s">
        <v>65</v>
      </c>
      <c r="G21" s="195" t="str">
        <f>IF(MarketModel!I30="x",MarketModel!J30&amp;", ","")</f>
        <v/>
      </c>
    </row>
    <row r="22" spans="2:7" ht="20.100000000000001" customHeight="1">
      <c r="E22" s="7" t="s">
        <v>66</v>
      </c>
      <c r="G22" s="195" t="str">
        <f>IF(MarketModel!I31="x",MarketModel!J31&amp;", ","")</f>
        <v/>
      </c>
    </row>
    <row r="23" spans="2:7" ht="20.100000000000001" customHeight="1">
      <c r="E23" s="7" t="s">
        <v>67</v>
      </c>
      <c r="G23" s="195" t="str">
        <f>IF(MarketModel!I32="x",MarketModel!J32&amp;", ","")</f>
        <v/>
      </c>
    </row>
    <row r="24" spans="2:7" ht="20.100000000000001" customHeight="1">
      <c r="E24" s="7" t="s">
        <v>68</v>
      </c>
      <c r="G24" s="195" t="str">
        <f>IF(MarketModel!I33="x",MarketModel!J33&amp;", ","")</f>
        <v/>
      </c>
    </row>
    <row r="25" spans="2:7" ht="20.100000000000001" customHeight="1">
      <c r="E25" s="7" t="s">
        <v>69</v>
      </c>
      <c r="G25" s="195" t="str">
        <f>IF(MarketModel!I34="x",MarketModel!J34&amp;", ","")</f>
        <v/>
      </c>
    </row>
    <row r="26" spans="2:7" ht="20.100000000000001" customHeight="1">
      <c r="E26" s="7" t="s">
        <v>70</v>
      </c>
      <c r="G26" s="195" t="str">
        <f>IF(MarketModel!I35="x",MarketModel!J35&amp;", ","")</f>
        <v/>
      </c>
    </row>
    <row r="27" spans="2:7" ht="20.100000000000001" customHeight="1">
      <c r="E27" s="7" t="s">
        <v>71</v>
      </c>
      <c r="G27" s="195" t="str">
        <f>IF(MarketModel!I36="x",MarketModel!J36&amp;", ","")</f>
        <v/>
      </c>
    </row>
    <row r="28" spans="2:7" ht="20.100000000000001" customHeight="1">
      <c r="E28" s="7" t="s">
        <v>72</v>
      </c>
      <c r="G28" s="195" t="str">
        <f>IF(MarketModel!I37="x",MarketModel!J37&amp;", ","")</f>
        <v/>
      </c>
    </row>
    <row r="29" spans="2:7" ht="20.100000000000001" customHeight="1">
      <c r="E29" s="7" t="s">
        <v>73</v>
      </c>
      <c r="G29" s="195" t="str">
        <f>IF(MarketModel!I38="x",MarketModel!J38&amp;", ","")</f>
        <v/>
      </c>
    </row>
    <row r="30" spans="2:7" ht="20.100000000000001" customHeight="1">
      <c r="E30" s="7" t="s">
        <v>74</v>
      </c>
      <c r="G30" s="195" t="str">
        <f>IF(MarketModel!I39="x",MarketModel!J39&amp;", ","")</f>
        <v/>
      </c>
    </row>
    <row r="31" spans="2:7" ht="20.100000000000001" customHeight="1">
      <c r="E31" s="7" t="s">
        <v>75</v>
      </c>
      <c r="G31" s="195" t="str">
        <f>IF(MarketModel!I40="x",MarketModel!J40&amp;", ","")</f>
        <v/>
      </c>
    </row>
    <row r="32" spans="2:7" ht="20.100000000000001" customHeight="1">
      <c r="E32" s="7" t="s">
        <v>76</v>
      </c>
      <c r="G32" s="195" t="str">
        <f>IF(MarketModel!O28="x",MarketModel!P28&amp;", ","")</f>
        <v/>
      </c>
    </row>
    <row r="33" spans="5:7" ht="20.100000000000001" customHeight="1">
      <c r="E33" s="7" t="s">
        <v>77</v>
      </c>
      <c r="G33" s="195" t="str">
        <f>IF(MarketModel!O29="x",MarketModel!P29&amp;", ","")</f>
        <v/>
      </c>
    </row>
    <row r="34" spans="5:7" ht="20.100000000000001" customHeight="1">
      <c r="E34" s="7" t="s">
        <v>78</v>
      </c>
      <c r="G34" s="195" t="str">
        <f>IF(MarketModel!O30="x",MarketModel!P30&amp;", ","")</f>
        <v/>
      </c>
    </row>
    <row r="35" spans="5:7" ht="20.100000000000001" customHeight="1">
      <c r="E35" s="7" t="s">
        <v>79</v>
      </c>
      <c r="G35" s="195" t="str">
        <f>IF(MarketModel!O31="x",MarketModel!P31&amp;", ","")</f>
        <v/>
      </c>
    </row>
    <row r="36" spans="5:7" ht="20.100000000000001" customHeight="1">
      <c r="E36" s="7" t="s">
        <v>80</v>
      </c>
      <c r="G36" s="195" t="str">
        <f>IF(MarketModel!O32="x",MarketModel!P32&amp;", ","")</f>
        <v/>
      </c>
    </row>
    <row r="37" spans="5:7" ht="20.100000000000001" customHeight="1">
      <c r="E37" s="7" t="s">
        <v>81</v>
      </c>
      <c r="G37" s="195" t="str">
        <f>IF(MarketModel!O33="x",MarketModel!P33&amp;", ","")</f>
        <v/>
      </c>
    </row>
    <row r="38" spans="5:7" ht="20.100000000000001" customHeight="1">
      <c r="E38" s="7" t="s">
        <v>82</v>
      </c>
      <c r="G38" s="195" t="str">
        <f>IF(MarketModel!O34="x",MarketModel!P34&amp;", ","")</f>
        <v/>
      </c>
    </row>
    <row r="39" spans="5:7" ht="20.100000000000001" customHeight="1">
      <c r="E39" s="7" t="s">
        <v>83</v>
      </c>
      <c r="G39" s="195" t="str">
        <f>IF(MarketModel!O35="x",MarketModel!P35&amp;", ","")</f>
        <v/>
      </c>
    </row>
    <row r="40" spans="5:7" ht="20.100000000000001" customHeight="1">
      <c r="E40" s="7" t="s">
        <v>84</v>
      </c>
      <c r="G40" s="195" t="str">
        <f>IF(MarketModel!O36="x",MarketModel!P36&amp;", ","")</f>
        <v/>
      </c>
    </row>
    <row r="41" spans="5:7" ht="20.100000000000001" customHeight="1">
      <c r="E41" s="7" t="s">
        <v>85</v>
      </c>
      <c r="G41" s="195" t="str">
        <f>IF(MarketModel!O37="x",MarketModel!P37&amp;", ","")</f>
        <v/>
      </c>
    </row>
    <row r="42" spans="5:7" ht="20.100000000000001" customHeight="1">
      <c r="E42" s="7" t="s">
        <v>86</v>
      </c>
      <c r="G42" s="195" t="str">
        <f>IF(MarketModel!O38="x",MarketModel!P38&amp;", ","")</f>
        <v/>
      </c>
    </row>
    <row r="43" spans="5:7" ht="20.100000000000001" customHeight="1">
      <c r="E43" s="7" t="s">
        <v>87</v>
      </c>
      <c r="G43" s="195" t="str">
        <f>IF(MarketModel!O39="x",MarketModel!P39&amp;", ","")</f>
        <v/>
      </c>
    </row>
    <row r="44" spans="5:7" ht="20.100000000000001" customHeight="1">
      <c r="E44" s="7" t="s">
        <v>88</v>
      </c>
      <c r="G44" s="195" t="str">
        <f>IF(MarketModel!O40="x",MarketModel!P40&amp;", ","")</f>
        <v/>
      </c>
    </row>
    <row r="45" spans="5:7" ht="20.100000000000001" customHeight="1">
      <c r="E45" s="7" t="s">
        <v>89</v>
      </c>
      <c r="G45" s="195" t="str">
        <f>IF(MarketModel!T28="x",MarketModel!U28&amp;", ","")</f>
        <v/>
      </c>
    </row>
    <row r="46" spans="5:7" ht="20.100000000000001" customHeight="1">
      <c r="E46" s="7" t="s">
        <v>90</v>
      </c>
      <c r="G46" s="195" t="str">
        <f>IF(MarketModel!T29="x",MarketModel!U29&amp;", ","")</f>
        <v/>
      </c>
    </row>
    <row r="47" spans="5:7" ht="20.100000000000001" customHeight="1">
      <c r="E47" s="7" t="s">
        <v>91</v>
      </c>
      <c r="G47" s="195" t="str">
        <f>IF(MarketModel!T30="x",MarketModel!U30&amp;", ","")</f>
        <v/>
      </c>
    </row>
    <row r="48" spans="5:7" ht="20.100000000000001" customHeight="1">
      <c r="E48" s="7" t="s">
        <v>92</v>
      </c>
      <c r="G48" s="195" t="str">
        <f>IF(MarketModel!T31="x",MarketModel!U31&amp;", ","")</f>
        <v/>
      </c>
    </row>
    <row r="49" spans="5:7" ht="20.100000000000001" customHeight="1">
      <c r="E49" s="7" t="s">
        <v>93</v>
      </c>
      <c r="G49" s="195" t="str">
        <f>IF(MarketModel!T32="x",MarketModel!U32&amp;", ","")</f>
        <v/>
      </c>
    </row>
    <row r="50" spans="5:7" ht="20.100000000000001" customHeight="1">
      <c r="E50" s="7" t="s">
        <v>94</v>
      </c>
      <c r="G50" s="195" t="str">
        <f>IF(MarketModel!T33="x",MarketModel!U33&amp;", ","")</f>
        <v/>
      </c>
    </row>
    <row r="51" spans="5:7" ht="20.100000000000001" customHeight="1">
      <c r="E51" s="7" t="s">
        <v>95</v>
      </c>
      <c r="G51" s="195" t="str">
        <f>IF(MarketModel!T34="x",MarketModel!U34&amp;", ","")</f>
        <v/>
      </c>
    </row>
    <row r="52" spans="5:7" ht="20.100000000000001" customHeight="1">
      <c r="E52" s="7" t="s">
        <v>96</v>
      </c>
      <c r="G52" s="195" t="str">
        <f>IF(MarketModel!T35="x",MarketModel!U35&amp;", ","")</f>
        <v/>
      </c>
    </row>
    <row r="53" spans="5:7" ht="20.100000000000001" customHeight="1">
      <c r="E53" s="7" t="s">
        <v>97</v>
      </c>
      <c r="G53" s="195" t="str">
        <f>IF(MarketModel!T36="x",MarketModel!U36&amp;", ","")</f>
        <v/>
      </c>
    </row>
    <row r="54" spans="5:7" ht="20.100000000000001" customHeight="1">
      <c r="E54" s="7" t="s">
        <v>98</v>
      </c>
      <c r="G54" s="195" t="str">
        <f>IF(MarketModel!T37="x",MarketModel!U37&amp;", ","")</f>
        <v/>
      </c>
    </row>
    <row r="55" spans="5:7" ht="20.100000000000001" customHeight="1">
      <c r="E55" s="7" t="s">
        <v>99</v>
      </c>
      <c r="G55" s="195" t="str">
        <f>IF(MarketModel!T38="x",MarketModel!U38&amp;", ","")</f>
        <v/>
      </c>
    </row>
    <row r="56" spans="5:7" ht="20.100000000000001" customHeight="1">
      <c r="E56" s="7" t="s">
        <v>100</v>
      </c>
      <c r="G56" s="195" t="str">
        <f>IF(MarketModel!T39="x",MarketModel!U39&amp;", ","")</f>
        <v/>
      </c>
    </row>
    <row r="57" spans="5:7" ht="20.100000000000001" customHeight="1">
      <c r="E57" s="7" t="s">
        <v>101</v>
      </c>
      <c r="G57" s="195" t="str">
        <f>IF(MarketModel!T40="x",MarketModel!U40&amp;", ","")</f>
        <v/>
      </c>
    </row>
    <row r="58" spans="5:7" ht="20.100000000000001" customHeight="1">
      <c r="E58" s="7" t="s">
        <v>102</v>
      </c>
      <c r="G58" s="195" t="str">
        <f>IF(MarketModel!Z28="x",MarketModel!AA28&amp;", ","")</f>
        <v/>
      </c>
    </row>
    <row r="59" spans="5:7" ht="20.100000000000001" customHeight="1">
      <c r="E59" s="7" t="s">
        <v>103</v>
      </c>
      <c r="G59" s="195" t="str">
        <f>IF(MarketModel!Z29="x",MarketModel!AA29&amp;", ","")</f>
        <v/>
      </c>
    </row>
    <row r="60" spans="5:7" ht="20.100000000000001" customHeight="1">
      <c r="E60" s="7" t="s">
        <v>104</v>
      </c>
      <c r="G60" s="195" t="str">
        <f>IF(MarketModel!Z30="x",MarketModel!AA30&amp;", ","")</f>
        <v/>
      </c>
    </row>
    <row r="61" spans="5:7" ht="20.100000000000001" customHeight="1">
      <c r="E61" s="7" t="s">
        <v>105</v>
      </c>
      <c r="G61" s="195" t="str">
        <f>IF(MarketModel!Z31="x",MarketModel!AA31&amp;", ","")</f>
        <v/>
      </c>
    </row>
    <row r="62" spans="5:7" ht="20.100000000000001" customHeight="1">
      <c r="E62" s="7" t="s">
        <v>106</v>
      </c>
      <c r="G62" s="195" t="str">
        <f>IF(MarketModel!Z32="x",MarketModel!AA32&amp;", ","")</f>
        <v/>
      </c>
    </row>
    <row r="63" spans="5:7" ht="20.100000000000001" customHeight="1">
      <c r="E63" s="7" t="s">
        <v>107</v>
      </c>
      <c r="G63" s="195" t="str">
        <f>IF(MarketModel!Z33="x",MarketModel!AA33&amp;", ","")</f>
        <v/>
      </c>
    </row>
    <row r="64" spans="5:7" ht="20.100000000000001" customHeight="1">
      <c r="E64" s="7" t="s">
        <v>108</v>
      </c>
      <c r="G64" s="195" t="str">
        <f>IF(MarketModel!Z34="x",MarketModel!AA34&amp;", ","")</f>
        <v/>
      </c>
    </row>
    <row r="65" spans="5:7" ht="20.100000000000001" customHeight="1">
      <c r="E65" s="7" t="s">
        <v>109</v>
      </c>
      <c r="G65" s="195" t="str">
        <f>IF(MarketModel!Z35="x",MarketModel!AA35&amp;", ","")</f>
        <v/>
      </c>
    </row>
    <row r="66" spans="5:7" ht="20.100000000000001" customHeight="1">
      <c r="E66" s="7" t="s">
        <v>110</v>
      </c>
      <c r="G66" s="195" t="str">
        <f>IF(MarketModel!Z36="x",MarketModel!AA36&amp;", ","")</f>
        <v/>
      </c>
    </row>
    <row r="67" spans="5:7" ht="20.100000000000001" customHeight="1">
      <c r="E67" s="7" t="s">
        <v>111</v>
      </c>
      <c r="G67" s="195" t="str">
        <f>IF(MarketModel!Z37="x",MarketModel!AA37&amp;", ","")</f>
        <v/>
      </c>
    </row>
    <row r="68" spans="5:7" ht="20.100000000000001" customHeight="1">
      <c r="E68" s="7" t="s">
        <v>112</v>
      </c>
      <c r="G68" s="195" t="str">
        <f>IF(MarketModel!Z38="x",MarketModel!AA38&amp;", ","")</f>
        <v/>
      </c>
    </row>
    <row r="69" spans="5:7" ht="20.100000000000001" customHeight="1">
      <c r="E69" s="7" t="s">
        <v>113</v>
      </c>
      <c r="G69" s="195" t="str">
        <f>IF(MarketModel!Z39="x",MarketModel!AA39&amp;", ","")</f>
        <v/>
      </c>
    </row>
    <row r="70" spans="5:7" ht="20.100000000000001" customHeight="1">
      <c r="E70" s="7" t="s">
        <v>114</v>
      </c>
      <c r="G70" s="195" t="str">
        <f>IF(MarketModel!Z40="x",MarketModel!AA40&amp;", ","")</f>
        <v/>
      </c>
    </row>
    <row r="71" spans="5:7" ht="20.100000000000001" customHeight="1">
      <c r="E71" s="7" t="s">
        <v>115</v>
      </c>
      <c r="G71" s="195" t="str">
        <f>IF(MarketModel!AD28="x",MarketModel!AE28&amp;", ","")</f>
        <v/>
      </c>
    </row>
    <row r="72" spans="5:7" ht="20.100000000000001" customHeight="1">
      <c r="E72" s="7" t="s">
        <v>116</v>
      </c>
      <c r="G72" s="195" t="str">
        <f>IF(MarketModel!AD29="x",MarketModel!AE29&amp;", ","")</f>
        <v/>
      </c>
    </row>
    <row r="73" spans="5:7" ht="20.100000000000001" customHeight="1">
      <c r="E73" s="7" t="s">
        <v>117</v>
      </c>
      <c r="G73" s="195" t="str">
        <f>IF(MarketModel!AD30="x",MarketModel!AE30&amp;", ","")</f>
        <v/>
      </c>
    </row>
    <row r="74" spans="5:7" ht="20.100000000000001" customHeight="1">
      <c r="E74" s="7" t="s">
        <v>118</v>
      </c>
      <c r="G74" s="195" t="str">
        <f>IF(MarketModel!AD31="x",MarketModel!AE31&amp;", ","")</f>
        <v/>
      </c>
    </row>
    <row r="75" spans="5:7" ht="20.100000000000001" customHeight="1">
      <c r="E75" s="7" t="s">
        <v>119</v>
      </c>
      <c r="G75" s="195" t="str">
        <f>IF(MarketModel!AD32="x",MarketModel!AE32&amp;", ","")</f>
        <v/>
      </c>
    </row>
    <row r="76" spans="5:7" ht="20.100000000000001" customHeight="1">
      <c r="E76" s="7" t="s">
        <v>120</v>
      </c>
      <c r="G76" s="195" t="str">
        <f>IF(MarketModel!AD33="x",MarketModel!AE33&amp;", ","")</f>
        <v/>
      </c>
    </row>
    <row r="77" spans="5:7" ht="20.100000000000001" customHeight="1">
      <c r="E77" s="7" t="s">
        <v>121</v>
      </c>
      <c r="G77" s="195" t="str">
        <f>IF(MarketModel!AD34="x",MarketModel!AE34&amp;", ","")</f>
        <v/>
      </c>
    </row>
    <row r="78" spans="5:7" ht="20.100000000000001" customHeight="1">
      <c r="E78" s="7" t="s">
        <v>122</v>
      </c>
      <c r="G78" s="195" t="str">
        <f>IF(MarketModel!AD35="x",MarketModel!AE35&amp;", ","")</f>
        <v/>
      </c>
    </row>
    <row r="79" spans="5:7" ht="20.100000000000001" customHeight="1">
      <c r="E79" s="7" t="s">
        <v>123</v>
      </c>
      <c r="G79" s="195" t="str">
        <f>IF(MarketModel!AD36="x",MarketModel!AE36&amp;", ","")</f>
        <v/>
      </c>
    </row>
    <row r="80" spans="5:7" ht="20.100000000000001" customHeight="1">
      <c r="E80" s="7" t="s">
        <v>124</v>
      </c>
      <c r="G80" s="195" t="str">
        <f>IF(MarketModel!AD37="x",MarketModel!AE37&amp;", ","")</f>
        <v/>
      </c>
    </row>
    <row r="81" spans="5:7" ht="20.100000000000001" customHeight="1">
      <c r="E81" s="7" t="s">
        <v>125</v>
      </c>
      <c r="G81" s="195" t="str">
        <f>IF(MarketModel!AD38="x",MarketModel!AE38&amp;", ","")</f>
        <v/>
      </c>
    </row>
    <row r="82" spans="5:7" ht="20.100000000000001" customHeight="1">
      <c r="E82" s="7" t="s">
        <v>126</v>
      </c>
      <c r="G82" s="195" t="str">
        <f>IF(MarketModel!AD39="x",MarketModel!AE39&amp;", ","")</f>
        <v/>
      </c>
    </row>
    <row r="83" spans="5:7" ht="20.100000000000001" customHeight="1">
      <c r="E83" s="7" t="s">
        <v>127</v>
      </c>
      <c r="G83" s="196" t="str">
        <f>IF(MarketModel!AD40="x",MarketModel!AE40&amp;", ","")</f>
        <v/>
      </c>
    </row>
    <row r="84" spans="5:7" ht="20.100000000000001" customHeight="1">
      <c r="E84" s="7" t="s">
        <v>128</v>
      </c>
    </row>
    <row r="85" spans="5:7" ht="20.100000000000001" customHeight="1">
      <c r="E85" s="7" t="s">
        <v>129</v>
      </c>
    </row>
    <row r="86" spans="5:7" ht="20.100000000000001" customHeight="1">
      <c r="E86" s="7" t="s">
        <v>130</v>
      </c>
    </row>
    <row r="87" spans="5:7" ht="20.100000000000001" customHeight="1">
      <c r="E87" s="7" t="s">
        <v>131</v>
      </c>
    </row>
    <row r="88" spans="5:7" ht="20.100000000000001" customHeight="1">
      <c r="E88" s="7" t="s">
        <v>132</v>
      </c>
    </row>
    <row r="89" spans="5:7" ht="20.100000000000001" customHeight="1">
      <c r="E89" s="7" t="s">
        <v>133</v>
      </c>
    </row>
    <row r="90" spans="5:7" ht="20.100000000000001" customHeight="1">
      <c r="E90" s="7" t="s">
        <v>134</v>
      </c>
    </row>
    <row r="91" spans="5:7" ht="20.100000000000001" customHeight="1">
      <c r="E91" s="7" t="s">
        <v>135</v>
      </c>
    </row>
    <row r="92" spans="5:7" ht="20.100000000000001" customHeight="1">
      <c r="E92" s="7" t="s">
        <v>136</v>
      </c>
    </row>
    <row r="93" spans="5:7" ht="20.100000000000001" customHeight="1">
      <c r="E93" s="7" t="s">
        <v>137</v>
      </c>
    </row>
    <row r="94" spans="5:7" ht="20.100000000000001" customHeight="1">
      <c r="E94" s="8" t="s">
        <v>138</v>
      </c>
    </row>
  </sheetData>
  <pageMargins left="0.75" right="0.75" top="1" bottom="1" header="0.5" footer="0.5"/>
  <pageSetup paperSize="8" orientation="portrait" horizontalDpi="4294967292" verticalDpi="42949672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12</vt:i4>
      </vt:variant>
    </vt:vector>
  </HeadingPairs>
  <TitlesOfParts>
    <vt:vector size="18" baseType="lpstr">
      <vt:lpstr>Menu</vt:lpstr>
      <vt:lpstr>MarketModel</vt:lpstr>
      <vt:lpstr>ProgramModel</vt:lpstr>
      <vt:lpstr>energyData</vt:lpstr>
      <vt:lpstr>demographicData</vt:lpstr>
      <vt:lpstr>Lists</vt:lpstr>
      <vt:lpstr>consumptionMap</vt:lpstr>
      <vt:lpstr>demoDataRows</vt:lpstr>
      <vt:lpstr>demoDataTable</vt:lpstr>
      <vt:lpstr>demoMap</vt:lpstr>
      <vt:lpstr>rawDataTable</vt:lpstr>
      <vt:lpstr>rawDataTableRows</vt:lpstr>
      <vt:lpstr>region</vt:lpstr>
      <vt:lpstr>SelectedAllianceList</vt:lpstr>
      <vt:lpstr>selectedAlliances</vt:lpstr>
      <vt:lpstr>selectedRegions</vt:lpstr>
      <vt:lpstr>SelectedRegionsList</vt:lpstr>
      <vt:lpstr>systemMap</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Brendan Lim</dc:creator>
  <cp:lastModifiedBy>smckenry</cp:lastModifiedBy>
  <dcterms:created xsi:type="dcterms:W3CDTF">2015-09-19T03:50:32Z</dcterms:created>
  <dcterms:modified xsi:type="dcterms:W3CDTF">2016-01-21T01:30:43Z</dcterms:modified>
</cp:coreProperties>
</file>